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20.23.11\c$\inetpub\wwwroot\"/>
    </mc:Choice>
  </mc:AlternateContent>
  <xr:revisionPtr revIDLastSave="0" documentId="13_ncr:1_{EAEE0335-FAF0-4259-BB5E-EA94DA1106EB}" xr6:coauthVersionLast="47" xr6:coauthVersionMax="47" xr10:uidLastSave="{00000000-0000-0000-0000-000000000000}"/>
  <bookViews>
    <workbookView xWindow="-98" yWindow="-98" windowWidth="20715" windowHeight="13155" tabRatio="938" xr2:uid="{00000000-000D-0000-FFFF-FFFF00000000}"/>
  </bookViews>
  <sheets>
    <sheet name="INSTRUÇÕES" sheetId="20" r:id="rId1"/>
    <sheet name="PARÂMETROS" sheetId="13" r:id="rId2"/>
    <sheet name="CANTEIRO" sheetId="7" r:id="rId3"/>
    <sheet name="PREÇOS" sheetId="1" r:id="rId4"/>
    <sheet name="COMPOSIÇÕES" sheetId="14" r:id="rId5"/>
    <sheet name="INSUMOS" sheetId="2" r:id="rId6"/>
    <sheet name="MO E EQ" sheetId="3" r:id="rId7"/>
    <sheet name="PAREDES CONVENCIONAL" sheetId="18" r:id="rId8"/>
    <sheet name="PAREDES CASA FÁCIL" sheetId="19" r:id="rId9"/>
  </sheets>
  <definedNames>
    <definedName name="_xlnm.Print_Area" localSheetId="1">PARÂMETROS!$B$2:$G$13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3" i="7" l="1"/>
  <c r="K6" i="2" l="1"/>
  <c r="K5" i="2"/>
  <c r="K4" i="2"/>
  <c r="L5" i="19" l="1"/>
  <c r="D3" i="1" l="1"/>
  <c r="M4" i="3" s="1"/>
  <c r="W21" i="18"/>
  <c r="W22" i="18"/>
  <c r="V28" i="18"/>
  <c r="E31" i="18"/>
  <c r="E32" i="18" s="1"/>
  <c r="E14" i="18"/>
  <c r="E15" i="18" s="1"/>
  <c r="R5" i="18"/>
  <c r="D4" i="1"/>
  <c r="M5" i="3" s="1"/>
  <c r="M6" i="3"/>
  <c r="M13" i="3"/>
  <c r="N13" i="3" s="1"/>
  <c r="N11" i="3"/>
  <c r="N12" i="3"/>
  <c r="M18" i="3"/>
  <c r="N18" i="3" s="1"/>
  <c r="M19" i="3"/>
  <c r="N19" i="3" s="1"/>
  <c r="L4" i="2"/>
  <c r="W5" i="18"/>
  <c r="W6" i="18"/>
  <c r="W7" i="18"/>
  <c r="W8" i="18"/>
  <c r="W9" i="18"/>
  <c r="O4" i="14"/>
  <c r="P4" i="14" s="1"/>
  <c r="O5" i="14"/>
  <c r="P5" i="14" s="1"/>
  <c r="O6" i="14"/>
  <c r="N6" i="14"/>
  <c r="P6" i="14" s="1"/>
  <c r="G8" i="14"/>
  <c r="H8" i="14" s="1"/>
  <c r="G9" i="14"/>
  <c r="H9" i="14" s="1"/>
  <c r="G10" i="14"/>
  <c r="H10" i="14" s="1"/>
  <c r="O12" i="14"/>
  <c r="P12" i="14" s="1"/>
  <c r="O13" i="14"/>
  <c r="P13" i="14" s="1"/>
  <c r="O14" i="14"/>
  <c r="P14" i="14" s="1"/>
  <c r="O9" i="14"/>
  <c r="P9" i="14" s="1"/>
  <c r="O16" i="14"/>
  <c r="P16" i="14" s="1"/>
  <c r="O17" i="14"/>
  <c r="P17" i="14"/>
  <c r="O19" i="14"/>
  <c r="P19" i="14" s="1"/>
  <c r="O20" i="14"/>
  <c r="P20" i="14" s="1"/>
  <c r="L9" i="2"/>
  <c r="M9" i="2" s="1"/>
  <c r="E3" i="1"/>
  <c r="C18" i="3"/>
  <c r="C19" i="3"/>
  <c r="C20" i="3"/>
  <c r="C5" i="3"/>
  <c r="C6" i="3"/>
  <c r="C7" i="3"/>
  <c r="C8" i="3"/>
  <c r="C9" i="3"/>
  <c r="C10" i="3"/>
  <c r="C11" i="3"/>
  <c r="C12" i="3"/>
  <c r="C13" i="3"/>
  <c r="C14" i="3"/>
  <c r="C15" i="3"/>
  <c r="E28" i="3"/>
  <c r="F28" i="3" s="1"/>
  <c r="E29" i="3"/>
  <c r="F29" i="3" s="1"/>
  <c r="E30" i="3"/>
  <c r="F30" i="3" s="1"/>
  <c r="C8" i="7"/>
  <c r="C11" i="7" s="1"/>
  <c r="G16" i="14"/>
  <c r="H16" i="14" s="1"/>
  <c r="G17" i="14"/>
  <c r="H17" i="14" s="1"/>
  <c r="G18" i="14"/>
  <c r="F18" i="14"/>
  <c r="G4" i="14"/>
  <c r="F4" i="14"/>
  <c r="G5" i="14"/>
  <c r="F5" i="14"/>
  <c r="G6" i="14"/>
  <c r="F6" i="14"/>
  <c r="W21" i="19"/>
  <c r="W22" i="19"/>
  <c r="V28" i="19"/>
  <c r="E31" i="19"/>
  <c r="E32" i="19" s="1"/>
  <c r="E14" i="19"/>
  <c r="E15" i="19" s="1"/>
  <c r="R5" i="19"/>
  <c r="W5" i="19"/>
  <c r="W6" i="19"/>
  <c r="W7" i="19"/>
  <c r="W8" i="19"/>
  <c r="W9" i="19"/>
  <c r="G12" i="14"/>
  <c r="H12" i="14" s="1"/>
  <c r="G13" i="14"/>
  <c r="H13" i="14" s="1"/>
  <c r="G14" i="14"/>
  <c r="H14" i="14" s="1"/>
  <c r="E7" i="2"/>
  <c r="F7" i="2"/>
  <c r="E8" i="2"/>
  <c r="F8" i="2" s="1"/>
  <c r="E9" i="2"/>
  <c r="E10" i="2"/>
  <c r="F10" i="2" s="1"/>
  <c r="E11" i="2"/>
  <c r="F11" i="2" s="1"/>
  <c r="E12" i="2"/>
  <c r="F12" i="2" s="1"/>
  <c r="F30" i="7"/>
  <c r="M17" i="14"/>
  <c r="L17" i="14"/>
  <c r="J9" i="2"/>
  <c r="I9" i="2"/>
  <c r="M21" i="14"/>
  <c r="L21" i="14"/>
  <c r="M20" i="14"/>
  <c r="L20" i="14"/>
  <c r="M19" i="14"/>
  <c r="L19" i="14"/>
  <c r="M10" i="14"/>
  <c r="M16" i="14"/>
  <c r="L16" i="14"/>
  <c r="L10" i="14"/>
  <c r="M9" i="14"/>
  <c r="L9" i="14"/>
  <c r="M8" i="14"/>
  <c r="L8" i="14"/>
  <c r="M14" i="14"/>
  <c r="L14" i="14"/>
  <c r="M13" i="14"/>
  <c r="L13" i="14"/>
  <c r="M12" i="14"/>
  <c r="L12" i="14"/>
  <c r="J6" i="2"/>
  <c r="I6" i="2"/>
  <c r="J5" i="2"/>
  <c r="I5" i="2"/>
  <c r="M5" i="14"/>
  <c r="L5" i="14"/>
  <c r="M6" i="14"/>
  <c r="L6" i="14"/>
  <c r="M4" i="14"/>
  <c r="L4" i="14"/>
  <c r="J4" i="2"/>
  <c r="I4" i="2"/>
  <c r="E18" i="14"/>
  <c r="D18" i="14"/>
  <c r="D17" i="14"/>
  <c r="D16" i="14"/>
  <c r="B16" i="2"/>
  <c r="C16" i="2"/>
  <c r="E17" i="14"/>
  <c r="E16" i="14"/>
  <c r="C12" i="2"/>
  <c r="B12" i="2"/>
  <c r="C11" i="2"/>
  <c r="B11" i="2"/>
  <c r="C10" i="2"/>
  <c r="B10" i="2"/>
  <c r="C9" i="2"/>
  <c r="C8" i="2"/>
  <c r="C7" i="2"/>
  <c r="B9" i="2"/>
  <c r="C6" i="2"/>
  <c r="B6" i="2"/>
  <c r="C5" i="2"/>
  <c r="B4" i="2"/>
  <c r="B5" i="2"/>
  <c r="C4" i="2"/>
  <c r="B8" i="2"/>
  <c r="B7" i="2"/>
  <c r="E14" i="14"/>
  <c r="D14" i="14"/>
  <c r="E13" i="14"/>
  <c r="D13" i="14"/>
  <c r="E12" i="14"/>
  <c r="D12" i="14"/>
  <c r="E10" i="14"/>
  <c r="D10" i="14"/>
  <c r="E9" i="14"/>
  <c r="D9" i="14"/>
  <c r="E8" i="14"/>
  <c r="D8" i="14"/>
  <c r="E6" i="14"/>
  <c r="E5" i="14"/>
  <c r="E4" i="14"/>
  <c r="D6" i="14"/>
  <c r="D5" i="14"/>
  <c r="D4" i="14"/>
  <c r="E2" i="1"/>
  <c r="C5" i="1"/>
  <c r="F5" i="3" l="1"/>
  <c r="E4" i="1"/>
  <c r="E20" i="3" s="1"/>
  <c r="F20" i="3" s="1"/>
  <c r="C14" i="7"/>
  <c r="C15" i="7"/>
  <c r="F29" i="7"/>
  <c r="F27" i="7"/>
  <c r="F28" i="7"/>
  <c r="F26" i="7"/>
  <c r="E17" i="13" s="1"/>
  <c r="W10" i="19"/>
  <c r="H4" i="14"/>
  <c r="P18" i="14"/>
  <c r="O10" i="14" s="1"/>
  <c r="P10" i="14" s="1"/>
  <c r="E18" i="13"/>
  <c r="F18" i="13" s="1"/>
  <c r="W23" i="18"/>
  <c r="W24" i="18" s="1"/>
  <c r="N20" i="3"/>
  <c r="N21" i="3" s="1"/>
  <c r="F31" i="3"/>
  <c r="F32" i="3" s="1"/>
  <c r="E11" i="3"/>
  <c r="F11" i="3" s="1"/>
  <c r="D5" i="1"/>
  <c r="M14" i="3"/>
  <c r="N14" i="3" s="1"/>
  <c r="H5" i="14"/>
  <c r="H18" i="14"/>
  <c r="H19" i="14" s="1"/>
  <c r="E16" i="2" s="1"/>
  <c r="F16" i="2" s="1"/>
  <c r="E23" i="3"/>
  <c r="F23" i="3" s="1"/>
  <c r="M8" i="3"/>
  <c r="E6" i="3"/>
  <c r="F6" i="3" s="1"/>
  <c r="M10" i="3"/>
  <c r="N10" i="3" s="1"/>
  <c r="W23" i="19"/>
  <c r="W24" i="19" s="1"/>
  <c r="G7" i="19" s="1"/>
  <c r="P7" i="14"/>
  <c r="L5" i="2" s="1"/>
  <c r="P15" i="14"/>
  <c r="O8" i="14" s="1"/>
  <c r="P8" i="14" s="1"/>
  <c r="H6" i="14"/>
  <c r="F19" i="3"/>
  <c r="E18" i="3"/>
  <c r="F18" i="3" s="1"/>
  <c r="H11" i="14"/>
  <c r="H15" i="14"/>
  <c r="E6" i="2" s="1"/>
  <c r="C12" i="7"/>
  <c r="C13" i="7"/>
  <c r="M7" i="3"/>
  <c r="M9" i="3"/>
  <c r="N26" i="3" l="1"/>
  <c r="N27" i="3"/>
  <c r="N24" i="3"/>
  <c r="N23" i="3"/>
  <c r="N25" i="3"/>
  <c r="P11" i="14"/>
  <c r="L7" i="2" s="1"/>
  <c r="M7" i="2" s="1"/>
  <c r="N7" i="2" s="1"/>
  <c r="E24" i="3"/>
  <c r="F24" i="3" s="1"/>
  <c r="F25" i="3" s="1"/>
  <c r="F7" i="3"/>
  <c r="E9" i="3"/>
  <c r="F9" i="3" s="1"/>
  <c r="F8" i="3"/>
  <c r="E10" i="3"/>
  <c r="F10" i="3" s="1"/>
  <c r="E5" i="1"/>
  <c r="E14" i="3"/>
  <c r="F14" i="3" s="1"/>
  <c r="E13" i="3"/>
  <c r="F13" i="3" s="1"/>
  <c r="E15" i="3"/>
  <c r="F15" i="3" s="1"/>
  <c r="E12" i="3"/>
  <c r="F12" i="3" s="1"/>
  <c r="O21" i="14"/>
  <c r="P21" i="14" s="1"/>
  <c r="P22" i="14" s="1"/>
  <c r="L8" i="2" s="1"/>
  <c r="M8" i="2" s="1"/>
  <c r="H7" i="14"/>
  <c r="E4" i="2" s="1"/>
  <c r="F21" i="3"/>
  <c r="D6" i="19"/>
  <c r="G6" i="19"/>
  <c r="D7" i="18"/>
  <c r="D6" i="18"/>
  <c r="G7" i="18"/>
  <c r="G6" i="18"/>
  <c r="L6" i="2"/>
  <c r="E5" i="2"/>
  <c r="F17" i="2"/>
  <c r="F16" i="3" l="1"/>
  <c r="F33" i="3"/>
  <c r="D7" i="19"/>
  <c r="L5" i="3"/>
  <c r="L4" i="3"/>
  <c r="M5" i="2"/>
  <c r="N5" i="2" s="1"/>
  <c r="M4" i="2"/>
  <c r="M6" i="2"/>
  <c r="N6" i="2" s="1"/>
  <c r="N9" i="2"/>
  <c r="G17" i="2"/>
  <c r="G11" i="2"/>
  <c r="G8" i="2"/>
  <c r="G10" i="2"/>
  <c r="G12" i="2"/>
  <c r="G7" i="2"/>
  <c r="G16" i="2"/>
  <c r="N8" i="2"/>
  <c r="F37" i="3" l="1"/>
  <c r="D39" i="3"/>
  <c r="D37" i="3"/>
  <c r="D35" i="3"/>
  <c r="D36" i="3"/>
  <c r="F36" i="3"/>
  <c r="D38" i="3"/>
  <c r="F35" i="3"/>
  <c r="F38" i="3"/>
  <c r="F39" i="3"/>
  <c r="F6" i="2"/>
  <c r="G6" i="2" s="1"/>
  <c r="F5" i="2"/>
  <c r="G5" i="2" s="1"/>
  <c r="D9" i="2"/>
  <c r="F9" i="2" s="1"/>
  <c r="G9" i="2" s="1"/>
  <c r="F4" i="2"/>
  <c r="L7" i="3"/>
  <c r="N7" i="3" s="1"/>
  <c r="L9" i="3"/>
  <c r="N9" i="3" s="1"/>
  <c r="N5" i="3"/>
  <c r="L6" i="3"/>
  <c r="N6" i="3" s="1"/>
  <c r="L8" i="3"/>
  <c r="N8" i="3" s="1"/>
  <c r="N4" i="3"/>
  <c r="M10" i="2"/>
  <c r="N4" i="2"/>
  <c r="E20" i="13" l="1"/>
  <c r="F20" i="13" s="1"/>
  <c r="F13" i="2"/>
  <c r="G4" i="2"/>
  <c r="N15" i="3"/>
  <c r="M11" i="2"/>
  <c r="N10" i="2"/>
  <c r="N29" i="3" l="1"/>
  <c r="N32" i="3"/>
  <c r="N30" i="3"/>
  <c r="N31" i="3"/>
  <c r="N37" i="3" s="1"/>
  <c r="N33" i="3"/>
  <c r="D19" i="13"/>
  <c r="N11" i="2"/>
  <c r="N35" i="3"/>
  <c r="N38" i="3"/>
  <c r="N39" i="3"/>
  <c r="F14" i="2"/>
  <c r="G13" i="2"/>
  <c r="D20" i="13" l="1"/>
  <c r="D21" i="13" s="1"/>
  <c r="N36" i="3"/>
  <c r="G14" i="2"/>
  <c r="F18" i="2"/>
  <c r="E19" i="13" l="1"/>
  <c r="G18" i="2"/>
  <c r="N20" i="2"/>
  <c r="F19" i="13" l="1"/>
  <c r="F21" i="13" s="1"/>
  <c r="F22" i="13" s="1"/>
  <c r="E21" i="13"/>
  <c r="E22" i="13" s="1"/>
  <c r="D11" i="13" l="1"/>
  <c r="E23" i="13"/>
  <c r="F11" i="13" s="1"/>
  <c r="F23" i="13"/>
  <c r="F12" i="13" s="1"/>
  <c r="D12" i="13"/>
  <c r="W10" i="18"/>
</calcChain>
</file>

<file path=xl/sharedStrings.xml><?xml version="1.0" encoding="utf-8"?>
<sst xmlns="http://schemas.openxmlformats.org/spreadsheetml/2006/main" count="386" uniqueCount="206">
  <si>
    <t>Quantidade de Casas</t>
  </si>
  <si>
    <t>Custo</t>
  </si>
  <si>
    <t>Produção Diária (Casas/dia)</t>
  </si>
  <si>
    <t>Insumos</t>
  </si>
  <si>
    <t>Descrição</t>
  </si>
  <si>
    <t>Custo Unitário</t>
  </si>
  <si>
    <t>Unidade</t>
  </si>
  <si>
    <t>Concreto</t>
  </si>
  <si>
    <t>Chumbador PBA</t>
  </si>
  <si>
    <t>Custo Total</t>
  </si>
  <si>
    <t>Apôios</t>
  </si>
  <si>
    <t>Eletrodos</t>
  </si>
  <si>
    <t xml:space="preserve">Argamassa cimento e areia 1:4 com expansor </t>
  </si>
  <si>
    <t>Pistas de pré-fabricação</t>
  </si>
  <si>
    <t>Bica Corrida (Forração)</t>
  </si>
  <si>
    <t>Drenagem</t>
  </si>
  <si>
    <t>Terraplenagem (100 x 45 m)</t>
  </si>
  <si>
    <t>TOTAL</t>
  </si>
  <si>
    <t>Por casa</t>
  </si>
  <si>
    <t>Custos Perecíveis</t>
  </si>
  <si>
    <t xml:space="preserve">Prateleiras estoque aço </t>
  </si>
  <si>
    <t>Boquilhas (3) fazer tijolos</t>
  </si>
  <si>
    <t>Formas metálicas</t>
  </si>
  <si>
    <t>Chaparia 1,5 mm</t>
  </si>
  <si>
    <t>Cavalete de transporte</t>
  </si>
  <si>
    <t>Balancim</t>
  </si>
  <si>
    <t xml:space="preserve">Montantes fixadores </t>
  </si>
  <si>
    <t xml:space="preserve">Escoras metálicas 60 x </t>
  </si>
  <si>
    <t xml:space="preserve">Cangas 60 x </t>
  </si>
  <si>
    <t xml:space="preserve">Gabarito de locação </t>
  </si>
  <si>
    <t xml:space="preserve">Réguas metalon (face inferior) </t>
  </si>
  <si>
    <t xml:space="preserve">Eventuais (5 %) </t>
  </si>
  <si>
    <t>Réguas de alumínio (face superior)</t>
  </si>
  <si>
    <t>Área (m²)</t>
  </si>
  <si>
    <t>Horas Semanais</t>
  </si>
  <si>
    <t>Horas/dia</t>
  </si>
  <si>
    <t>Dias Semana</t>
  </si>
  <si>
    <t>Horas Mensal</t>
  </si>
  <si>
    <t>Salário Mensal</t>
  </si>
  <si>
    <t>Oficial</t>
  </si>
  <si>
    <t>Servente</t>
  </si>
  <si>
    <t>Custo Hora</t>
  </si>
  <si>
    <t>Descrição Atividade</t>
  </si>
  <si>
    <t xml:space="preserve">Alvenaria (Não descontar as aberturas menores que 2,0 m2) </t>
  </si>
  <si>
    <t>m²</t>
  </si>
  <si>
    <t xml:space="preserve">Chapisco (Duas vezes a alvenaria) </t>
  </si>
  <si>
    <t xml:space="preserve">Emboço Paulista (Duas vezes a alvenaria) </t>
  </si>
  <si>
    <t>Instalações elétricas (parte embutida nas paredes)</t>
  </si>
  <si>
    <t>un</t>
  </si>
  <si>
    <t>Quantidade</t>
  </si>
  <si>
    <t>Índice MO (h)</t>
  </si>
  <si>
    <t>Instalações hidro-sanitárias (parte embutida nas paredes)</t>
  </si>
  <si>
    <t>Assentamento de esquadrias</t>
  </si>
  <si>
    <t>Custo MO</t>
  </si>
  <si>
    <t>Casa Convencional com aberturas</t>
  </si>
  <si>
    <t>Casa Convencional sem aberturas</t>
  </si>
  <si>
    <t>NÃO PERECÍVEIS 
(Reaproveitáveis em outras obras por serem peças metálicas)</t>
  </si>
  <si>
    <t>PERECÍVEIS 
(Irrecuperáveis)</t>
  </si>
  <si>
    <t>Pedreiro</t>
  </si>
  <si>
    <t>Bombeiro</t>
  </si>
  <si>
    <t>Servente (Argamassa e Concreto)</t>
  </si>
  <si>
    <t>Servente (Chaparia)</t>
  </si>
  <si>
    <t>Serventes (Kits)</t>
  </si>
  <si>
    <t>Serventes (Corte de Tijolos)</t>
  </si>
  <si>
    <t>Serventes (Limpeza)</t>
  </si>
  <si>
    <t>Equipe de fabricação</t>
  </si>
  <si>
    <t>Equipe de montagem</t>
  </si>
  <si>
    <t>Soldador</t>
  </si>
  <si>
    <t>Serventes</t>
  </si>
  <si>
    <t>Equipe de acabamento (Um dia e meio)</t>
  </si>
  <si>
    <t>Guindaste 18 ton/metro</t>
  </si>
  <si>
    <t>Caminhão trucado traçado</t>
  </si>
  <si>
    <t>Gerador com conversor de solda</t>
  </si>
  <si>
    <t>EQUIPAMENTOS CASA FÁCIL</t>
  </si>
  <si>
    <t>Custo Equipamentos por dia (22 dias)</t>
  </si>
  <si>
    <t>CUSTO TOTAL POR DIA</t>
  </si>
  <si>
    <t>Dupla (Oficial + Servente)</t>
  </si>
  <si>
    <t>Cintamento</t>
  </si>
  <si>
    <t>Caminhões</t>
  </si>
  <si>
    <t>Andaimes</t>
  </si>
  <si>
    <t>DIFERENÇA POR CASA</t>
  </si>
  <si>
    <t>Custos Não Perecíveis</t>
  </si>
  <si>
    <t>Produção Diária (Casas/ dia)</t>
  </si>
  <si>
    <t>Casa Fácil</t>
  </si>
  <si>
    <t>Casa Convencional</t>
  </si>
  <si>
    <t>Quantidade de Casas:</t>
  </si>
  <si>
    <t>Produção Diária (Casas/ dia):</t>
  </si>
  <si>
    <t>Leis Sociais:</t>
  </si>
  <si>
    <t>SELECIONE OS PARÂMETROS</t>
  </si>
  <si>
    <t>-</t>
  </si>
  <si>
    <t>QUADRO COMPARATIVO POR CASA*</t>
  </si>
  <si>
    <t>1ª OBRA</t>
  </si>
  <si>
    <t>2ª OBRA</t>
  </si>
  <si>
    <t>ECONOMIA POR CASA*</t>
  </si>
  <si>
    <t>Tijolo 8 furos</t>
  </si>
  <si>
    <t>Tijolo 6 furos</t>
  </si>
  <si>
    <t>Tijolo 4 furos</t>
  </si>
  <si>
    <t>Areia Média Lavada</t>
  </si>
  <si>
    <t>Brita 0</t>
  </si>
  <si>
    <t>Areia Fina Lavada</t>
  </si>
  <si>
    <t>Materiais</t>
  </si>
  <si>
    <t>Equipamentos</t>
  </si>
  <si>
    <t>m³</t>
  </si>
  <si>
    <t>kg</t>
  </si>
  <si>
    <t>Mês</t>
  </si>
  <si>
    <t>litro</t>
  </si>
  <si>
    <t>Composição</t>
  </si>
  <si>
    <t>Descrição Material</t>
  </si>
  <si>
    <t>Índice</t>
  </si>
  <si>
    <t>DETALHE COMPOSIÇÕES MATERIAIS</t>
  </si>
  <si>
    <t>Tijolo furado 9 x 19 x 29</t>
  </si>
  <si>
    <t>Cimento CP II (50 kg)</t>
  </si>
  <si>
    <t>Cimento CP V (40 kg)</t>
  </si>
  <si>
    <t>h</t>
  </si>
  <si>
    <t>Delta-mold</t>
  </si>
  <si>
    <t>TOTAL PAREDES</t>
  </si>
  <si>
    <t>TOTAL PAREDES + PERDAS 2%</t>
  </si>
  <si>
    <t>Super Cal</t>
  </si>
  <si>
    <t>Saco 15 kg</t>
  </si>
  <si>
    <t>Aço CA-60/CA-50/CA-25</t>
  </si>
  <si>
    <t>Treliça H6</t>
  </si>
  <si>
    <t>Peça</t>
  </si>
  <si>
    <t>Expansor</t>
  </si>
  <si>
    <t>Tijolo Casa Fácil</t>
  </si>
  <si>
    <t>Argamassa 1:1:8</t>
  </si>
  <si>
    <t>Verga e Contra-verga</t>
  </si>
  <si>
    <t>m</t>
  </si>
  <si>
    <t xml:space="preserve">TOTAL </t>
  </si>
  <si>
    <t>Caminhão</t>
  </si>
  <si>
    <t>EQUIPAMENTOS CASA CONVENCIONAL</t>
  </si>
  <si>
    <t>Mão de Obra e Equipamentos</t>
  </si>
  <si>
    <t>TOTAL ARREMATE + PERDAS 15%</t>
  </si>
  <si>
    <t xml:space="preserve">CASA FÁCIL </t>
  </si>
  <si>
    <t>CASA CONVENCIONAL</t>
  </si>
  <si>
    <t>CASA FÁCIL</t>
  </si>
  <si>
    <t>CONVENCIONAL</t>
  </si>
  <si>
    <t>x</t>
  </si>
  <si>
    <t>Brita 1</t>
  </si>
  <si>
    <t>Concreto Fck 20 MPa preparado in loco</t>
  </si>
  <si>
    <t>Forma de madeira 1 Utilização</t>
  </si>
  <si>
    <t>Prego</t>
  </si>
  <si>
    <t>Madeira de Lei</t>
  </si>
  <si>
    <t>Bloco Canaleta 9 x 19 x 19</t>
  </si>
  <si>
    <t>Tábua de lei 30cm</t>
  </si>
  <si>
    <t>Andaime</t>
  </si>
  <si>
    <t>TOTAL + PERDAS 15%</t>
  </si>
  <si>
    <t>CUSTOS DE IMPLANTAÇÃO DO CANTEIRO CASA FÁCIL</t>
  </si>
  <si>
    <t>PREÇOS UNITÁRIOS</t>
  </si>
  <si>
    <t>ARREMATES LOCAIS</t>
  </si>
  <si>
    <t>Eletricista</t>
  </si>
  <si>
    <t>Encanador</t>
  </si>
  <si>
    <t>Função</t>
  </si>
  <si>
    <t>Vergas e contra-vergas</t>
  </si>
  <si>
    <t xml:space="preserve">CASA CONVENCIONAL </t>
  </si>
  <si>
    <t>MÃO DE OBRA E EQUIPAMENTOS</t>
  </si>
  <si>
    <t>Custo Total Mão de Obra por casa</t>
  </si>
  <si>
    <t>Custo Fixo</t>
  </si>
  <si>
    <t>DETALHAMENTO*</t>
  </si>
  <si>
    <t>* Observe planilhas para inserção de dados.</t>
  </si>
  <si>
    <t>* Valores relativos à construção das paredes com esquadrias, tubulações de hidráulica e elétrica embutidas.</t>
  </si>
  <si>
    <t>Custo Total por casa</t>
  </si>
  <si>
    <t>Custo Total por dia</t>
  </si>
  <si>
    <t>Custo Total Caminhão por casa</t>
  </si>
  <si>
    <t>ÁREA PAREDES CASA CONVENCIONAL</t>
  </si>
  <si>
    <t>Áreas sem abertura</t>
  </si>
  <si>
    <t>Áreas com abertura</t>
  </si>
  <si>
    <t>Esquadrias</t>
  </si>
  <si>
    <t>Altura (m)</t>
  </si>
  <si>
    <t>Largura (m)</t>
  </si>
  <si>
    <t>Qtde</t>
  </si>
  <si>
    <t>Alvenaria</t>
  </si>
  <si>
    <t>Parede</t>
  </si>
  <si>
    <t>Chapisco</t>
  </si>
  <si>
    <t>Emboço</t>
  </si>
  <si>
    <t>Parede (3x)</t>
  </si>
  <si>
    <t>Oitão</t>
  </si>
  <si>
    <t>Total</t>
  </si>
  <si>
    <t>Total (2x)</t>
  </si>
  <si>
    <t>Parede (2x)</t>
  </si>
  <si>
    <t>Semanas/mês</t>
  </si>
  <si>
    <t>ÁREA PAREDES CASA FÁCIL</t>
  </si>
  <si>
    <t>Custo por m²</t>
  </si>
  <si>
    <t>Casa Fácill sem aberturas</t>
  </si>
  <si>
    <t>Casa Fácil com aberturas</t>
  </si>
  <si>
    <t>INSTRUÇÕES</t>
  </si>
  <si>
    <t>INSUMOS POR CASA</t>
  </si>
  <si>
    <t>TOTAL (10 UTILIZAÇÕES) *0,51</t>
  </si>
  <si>
    <t>Casa Fácil 1ª Obra</t>
  </si>
  <si>
    <t>Diferença</t>
  </si>
  <si>
    <t>Casa Fácil 2ª Obra</t>
  </si>
  <si>
    <t>%</t>
  </si>
  <si>
    <t>Argamassa 202kg/m³</t>
  </si>
  <si>
    <t xml:space="preserve">1- Os quantitativos utilizados para a comparação foram os da casa do Residencial Nova Três Corações, em Três Corações-MG, obra do Minha Casa Minha Vida, com área de 41,01 m2.
2- Os revestimentos considerados foram de 10 mm em cada face para o Casa Fácil e 25 mm em cada face para o Convencional.                                                                                                                                
3- As áreas para os cálculos foram:                                                                                                       
Convencional com aberturas     116,61 m2                                                                          
Convencional sem aberturas     98,79 m2                                                                                            
Casa Fácil com aberturas             113,97 m2                                                                                                         
Casa Fácil sem aberturas             96,15 m2                                                                                                           
4- A diferença de áreas vista acima refere-se ao fato das paredes do convencional terem espessura de 14 cm, enquanto no Casa Fácil esta espessura ser de 11 cm. Além disto, as paredes do processo são fabricadas 6 cm mais curtas  que as dimensões de projeto, espaços a serem preenchidos após a montagem conforme se nota no segundo ítem de insumos do Casa Fácil.                                                                                                         
5- As áreas de telhado e radier são diminuidas de 2,4%                                                                                                              
6- A área construída diminui e a área útil aumenta.
</t>
  </si>
  <si>
    <t>Cavaletes desmoldante</t>
  </si>
  <si>
    <t>Cavaletes água</t>
  </si>
  <si>
    <t>Galgas espaçadoras de tijolos</t>
  </si>
  <si>
    <t>Gabaritos para esquadrias</t>
  </si>
  <si>
    <t>Formas para corpos de prova</t>
  </si>
  <si>
    <t>Escadas para montagem</t>
  </si>
  <si>
    <t>Encarregado</t>
  </si>
  <si>
    <t>Armador</t>
  </si>
  <si>
    <t>Servente (Pista )</t>
  </si>
  <si>
    <t>Serventes ( Betoneiras )</t>
  </si>
  <si>
    <t>Servente ( Caminhão )</t>
  </si>
  <si>
    <t>Servente ( Montagem )</t>
  </si>
  <si>
    <t>Na planilha Excel são disponibilizadas 9 abas. Nelas podem ser feitas alterações em todas as células que tenham fundo cor amarelo. Por exemplo, na segunda aba "Parâmetros", clicando-se na célula D6, aparece do lado direito uma seta com 5 possibilidades (100, 200, 300, 400 e 500). Da mesma forma, clicando-se na célula D7, também aparece uma seta com outras 5 possibilidades (1, 2, 3, 3 e meia, 4). A célua D8 altera o percentual de Leis Sociais que cada empresa usa para seus orçamentos. Nas demais abas, pode se alterar preços, índices e áreas. Não se esqueça de clicar em HABILITAR EDIÇÃO caso seja necessário.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</si>
</sst>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&quot;R$&quot;\ #,##0.00;[Red]\-&quot;R$&quot;\ #,##0.00"/>
    <numFmt numFmtId="165" formatCode="_-&quot;R$&quot;\ * #,##0.00_-;\-&quot;R$&quot;\ * #,##0.00_-;_-&quot;R$&quot;\ * &quot;-&quot;??_-;_-@_-"/>
    <numFmt numFmtId="166" formatCode="0.0"/>
    <numFmt numFmtId="167" formatCode="&quot;R$&quot;\ #,##0.00"/>
    <numFmt numFmtId="168" formatCode="_-* #,##0.0000_-;\-* #,##0.0000_-;_-* &quot;-&quot;??_-;_-@_-"/>
    <numFmt numFmtId="169" formatCode="_-* #,##0.0000_-;\-* #,##0.0000_-;_-* &quot;-&quot;????_-;_-@_-"/>
    <numFmt numFmtId="170" formatCode="0.00%\ ;[Red]\-0.00\ %"/>
    <numFmt numFmtId="171" formatCode="_-* #,##0.000_-;\-* #,##0.000_-;_-* &quot;-&quot;??_-;_-@_-"/>
    <numFmt numFmtId="172" formatCode="0.00\ &quot;m²&quot;"/>
    <numFmt numFmtId="173" formatCode="_-* #,##0_-;\-* #,##0_-;_-* &quot;-&quot;??_-;_-@_-"/>
    <numFmt numFmtId="174" formatCode="0.00\ &quot;m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7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0" fillId="2" borderId="0" xfId="0" applyFill="1" applyBorder="1"/>
    <xf numFmtId="0" fontId="6" fillId="2" borderId="0" xfId="0" applyFont="1" applyFill="1"/>
    <xf numFmtId="167" fontId="0" fillId="0" borderId="1" xfId="1" applyNumberFormat="1" applyFont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12" xfId="0" applyFill="1" applyBorder="1"/>
    <xf numFmtId="0" fontId="6" fillId="2" borderId="8" xfId="0" applyFont="1" applyFill="1" applyBorder="1"/>
    <xf numFmtId="0" fontId="6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2" borderId="1" xfId="2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5" fontId="2" fillId="2" borderId="1" xfId="2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9" xfId="0" applyFill="1" applyBorder="1" applyAlignme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5" fontId="2" fillId="2" borderId="1" xfId="2" applyFont="1" applyFill="1" applyBorder="1" applyAlignment="1">
      <alignment vertical="center"/>
    </xf>
    <xf numFmtId="0" fontId="0" fillId="2" borderId="1" xfId="0" applyFill="1" applyBorder="1" applyAlignment="1"/>
    <xf numFmtId="168" fontId="0" fillId="2" borderId="1" xfId="1" applyNumberFormat="1" applyFont="1" applyFill="1" applyBorder="1" applyAlignment="1"/>
    <xf numFmtId="165" fontId="1" fillId="2" borderId="1" xfId="2" applyFont="1" applyFill="1" applyBorder="1" applyAlignment="1">
      <alignment vertical="center"/>
    </xf>
    <xf numFmtId="165" fontId="0" fillId="2" borderId="0" xfId="0" applyNumberFormat="1" applyFill="1"/>
    <xf numFmtId="169" fontId="0" fillId="2" borderId="0" xfId="0" applyNumberFormat="1" applyFill="1"/>
    <xf numFmtId="0" fontId="0" fillId="2" borderId="1" xfId="0" applyFill="1" applyBorder="1"/>
    <xf numFmtId="165" fontId="2" fillId="2" borderId="1" xfId="0" applyNumberFormat="1" applyFont="1" applyFill="1" applyBorder="1"/>
    <xf numFmtId="165" fontId="0" fillId="2" borderId="0" xfId="2" applyFont="1" applyFill="1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65" fontId="0" fillId="2" borderId="1" xfId="2" applyFont="1" applyFill="1" applyBorder="1"/>
    <xf numFmtId="165" fontId="2" fillId="2" borderId="1" xfId="2" applyFont="1" applyFill="1" applyBorder="1"/>
    <xf numFmtId="0" fontId="2" fillId="2" borderId="0" xfId="0" applyFont="1" applyFill="1"/>
    <xf numFmtId="165" fontId="0" fillId="2" borderId="1" xfId="0" applyNumberForma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0" fillId="2" borderId="18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165" fontId="2" fillId="2" borderId="18" xfId="0" applyNumberFormat="1" applyFont="1" applyFill="1" applyBorder="1"/>
    <xf numFmtId="165" fontId="2" fillId="2" borderId="21" xfId="0" applyNumberFormat="1" applyFont="1" applyFill="1" applyBorder="1"/>
    <xf numFmtId="165" fontId="2" fillId="2" borderId="1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/>
    <xf numFmtId="0" fontId="2" fillId="2" borderId="23" xfId="0" applyFont="1" applyFill="1" applyBorder="1" applyAlignment="1">
      <alignment horizontal="center" vertical="center" wrapText="1"/>
    </xf>
    <xf numFmtId="165" fontId="2" fillId="2" borderId="24" xfId="2" applyFont="1" applyFill="1" applyBorder="1" applyAlignment="1">
      <alignment horizontal="center" vertical="center"/>
    </xf>
    <xf numFmtId="166" fontId="0" fillId="2" borderId="1" xfId="0" applyNumberFormat="1" applyFill="1" applyBorder="1"/>
    <xf numFmtId="165" fontId="0" fillId="2" borderId="18" xfId="2" applyFont="1" applyFill="1" applyBorder="1"/>
    <xf numFmtId="166" fontId="0" fillId="2" borderId="20" xfId="0" applyNumberFormat="1" applyFill="1" applyBorder="1"/>
    <xf numFmtId="165" fontId="0" fillId="2" borderId="21" xfId="2" applyFont="1" applyFill="1" applyBorder="1"/>
    <xf numFmtId="165" fontId="10" fillId="3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0" xfId="4" applyFill="1" applyAlignment="1">
      <alignment horizontal="center" vertical="center"/>
    </xf>
    <xf numFmtId="0" fontId="11" fillId="2" borderId="0" xfId="4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5" fontId="2" fillId="2" borderId="1" xfId="2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1" fillId="2" borderId="1" xfId="2" applyFont="1" applyFill="1" applyBorder="1" applyAlignment="1" applyProtection="1">
      <alignment vertical="center"/>
      <protection locked="0"/>
    </xf>
    <xf numFmtId="165" fontId="2" fillId="2" borderId="0" xfId="0" applyNumberFormat="1" applyFont="1" applyFill="1" applyAlignment="1">
      <alignment horizontal="center" vertical="center"/>
    </xf>
    <xf numFmtId="165" fontId="1" fillId="2" borderId="1" xfId="2" applyFont="1" applyFill="1" applyBorder="1" applyAlignment="1">
      <alignment horizontal="center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5" fontId="13" fillId="2" borderId="32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8" xfId="0" applyFill="1" applyBorder="1" applyAlignment="1"/>
    <xf numFmtId="0" fontId="0" fillId="2" borderId="0" xfId="0" applyFill="1" applyBorder="1" applyAlignment="1"/>
    <xf numFmtId="0" fontId="0" fillId="2" borderId="25" xfId="0" applyFill="1" applyBorder="1" applyAlignment="1"/>
    <xf numFmtId="0" fontId="0" fillId="2" borderId="26" xfId="0" applyFill="1" applyBorder="1" applyAlignment="1"/>
    <xf numFmtId="165" fontId="0" fillId="2" borderId="20" xfId="2" applyFont="1" applyFill="1" applyBorder="1"/>
    <xf numFmtId="0" fontId="0" fillId="2" borderId="4" xfId="0" applyFill="1" applyBorder="1"/>
    <xf numFmtId="0" fontId="6" fillId="2" borderId="2" xfId="0" applyFont="1" applyFill="1" applyBorder="1"/>
    <xf numFmtId="164" fontId="8" fillId="2" borderId="0" xfId="1" applyNumberFormat="1" applyFont="1" applyFill="1" applyBorder="1" applyAlignment="1">
      <alignment vertical="center"/>
    </xf>
    <xf numFmtId="170" fontId="8" fillId="2" borderId="0" xfId="3" applyNumberFormat="1" applyFont="1" applyFill="1" applyBorder="1" applyAlignment="1">
      <alignment vertical="center"/>
    </xf>
    <xf numFmtId="0" fontId="0" fillId="0" borderId="1" xfId="0" applyFont="1" applyBorder="1"/>
    <xf numFmtId="0" fontId="14" fillId="2" borderId="2" xfId="4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8" xfId="4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2" fillId="2" borderId="8" xfId="0" applyFont="1" applyFill="1" applyBorder="1"/>
    <xf numFmtId="0" fontId="12" fillId="2" borderId="12" xfId="0" applyFont="1" applyFill="1" applyBorder="1"/>
    <xf numFmtId="0" fontId="3" fillId="0" borderId="1" xfId="0" applyFont="1" applyBorder="1" applyAlignment="1">
      <alignment horizontal="center" vertical="center"/>
    </xf>
    <xf numFmtId="170" fontId="3" fillId="0" borderId="1" xfId="3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15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0" xfId="0" applyBorder="1"/>
    <xf numFmtId="0" fontId="0" fillId="0" borderId="12" xfId="0" applyBorder="1"/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3" fontId="0" fillId="0" borderId="0" xfId="0" applyNumberFormat="1" applyBorder="1"/>
    <xf numFmtId="0" fontId="2" fillId="0" borderId="15" xfId="0" applyFont="1" applyBorder="1"/>
    <xf numFmtId="0" fontId="2" fillId="0" borderId="1" xfId="0" applyFont="1" applyFill="1" applyBorder="1"/>
    <xf numFmtId="0" fontId="2" fillId="0" borderId="18" xfId="0" applyFont="1" applyFill="1" applyBorder="1"/>
    <xf numFmtId="0" fontId="0" fillId="0" borderId="15" xfId="0" applyBorder="1"/>
    <xf numFmtId="43" fontId="0" fillId="0" borderId="18" xfId="1" applyFont="1" applyBorder="1"/>
    <xf numFmtId="0" fontId="2" fillId="0" borderId="1" xfId="0" applyFont="1" applyBorder="1" applyAlignment="1">
      <alignment horizontal="center" vertical="center"/>
    </xf>
    <xf numFmtId="172" fontId="2" fillId="0" borderId="1" xfId="1" applyNumberFormat="1" applyFont="1" applyBorder="1" applyAlignment="1">
      <alignment horizontal="center" vertical="center"/>
    </xf>
    <xf numFmtId="43" fontId="0" fillId="3" borderId="15" xfId="1" applyFont="1" applyFill="1" applyBorder="1"/>
    <xf numFmtId="43" fontId="0" fillId="3" borderId="1" xfId="1" applyFont="1" applyFill="1" applyBorder="1"/>
    <xf numFmtId="173" fontId="0" fillId="3" borderId="1" xfId="1" applyNumberFormat="1" applyFont="1" applyFill="1" applyBorder="1"/>
    <xf numFmtId="43" fontId="0" fillId="0" borderId="18" xfId="0" applyNumberFormat="1" applyBorder="1"/>
    <xf numFmtId="173" fontId="0" fillId="3" borderId="1" xfId="0" applyNumberFormat="1" applyFill="1" applyBorder="1"/>
    <xf numFmtId="0" fontId="0" fillId="0" borderId="19" xfId="0" applyBorder="1"/>
    <xf numFmtId="43" fontId="0" fillId="0" borderId="21" xfId="1" applyFont="1" applyBorder="1"/>
    <xf numFmtId="174" fontId="0" fillId="3" borderId="40" xfId="1" applyNumberFormat="1" applyFont="1" applyFill="1" applyBorder="1"/>
    <xf numFmtId="43" fontId="2" fillId="0" borderId="21" xfId="0" applyNumberFormat="1" applyFont="1" applyBorder="1"/>
    <xf numFmtId="0" fontId="0" fillId="0" borderId="1" xfId="0" applyBorder="1" applyAlignment="1">
      <alignment horizontal="center" vertical="center"/>
    </xf>
    <xf numFmtId="172" fontId="0" fillId="0" borderId="1" xfId="0" applyNumberFormat="1" applyBorder="1" applyAlignment="1">
      <alignment horizontal="center" vertical="center"/>
    </xf>
    <xf numFmtId="172" fontId="2" fillId="0" borderId="1" xfId="0" applyNumberFormat="1" applyFont="1" applyBorder="1" applyAlignment="1">
      <alignment horizontal="center" vertical="center"/>
    </xf>
    <xf numFmtId="174" fontId="0" fillId="3" borderId="40" xfId="0" applyNumberForma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3" fontId="0" fillId="0" borderId="18" xfId="1" applyNumberFormat="1" applyFont="1" applyBorder="1"/>
    <xf numFmtId="43" fontId="0" fillId="2" borderId="0" xfId="1" applyFont="1" applyFill="1" applyAlignment="1">
      <alignment horizontal="center" vertical="center"/>
    </xf>
    <xf numFmtId="165" fontId="0" fillId="2" borderId="0" xfId="2" applyFont="1" applyFill="1" applyBorder="1"/>
    <xf numFmtId="0" fontId="0" fillId="2" borderId="2" xfId="0" applyFill="1" applyBorder="1"/>
    <xf numFmtId="0" fontId="0" fillId="2" borderId="25" xfId="0" applyFill="1" applyBorder="1"/>
    <xf numFmtId="0" fontId="0" fillId="2" borderId="27" xfId="0" applyFill="1" applyBorder="1"/>
    <xf numFmtId="0" fontId="0" fillId="2" borderId="3" xfId="0" applyFill="1" applyBorder="1"/>
    <xf numFmtId="0" fontId="1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justify" vertical="center" wrapText="1"/>
    </xf>
    <xf numFmtId="0" fontId="5" fillId="2" borderId="26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170" fontId="2" fillId="0" borderId="1" xfId="3" applyNumberFormat="1" applyFont="1" applyBorder="1" applyAlignment="1">
      <alignment horizontal="center" vertical="center"/>
    </xf>
    <xf numFmtId="43" fontId="0" fillId="0" borderId="0" xfId="1" applyFont="1" applyFill="1" applyBorder="1"/>
    <xf numFmtId="173" fontId="0" fillId="0" borderId="0" xfId="0" applyNumberFormat="1" applyFill="1" applyBorder="1"/>
    <xf numFmtId="43" fontId="0" fillId="0" borderId="0" xfId="0" applyNumberFormat="1" applyFill="1" applyBorder="1"/>
    <xf numFmtId="43" fontId="2" fillId="0" borderId="0" xfId="0" applyNumberFormat="1" applyFont="1" applyFill="1" applyBorder="1"/>
    <xf numFmtId="0" fontId="2" fillId="0" borderId="0" xfId="0" applyFont="1" applyFill="1" applyBorder="1" applyAlignment="1"/>
    <xf numFmtId="174" fontId="0" fillId="0" borderId="0" xfId="1" applyNumberFormat="1" applyFont="1" applyFill="1" applyBorder="1"/>
    <xf numFmtId="0" fontId="0" fillId="0" borderId="0" xfId="0" applyFill="1" applyBorder="1"/>
    <xf numFmtId="0" fontId="0" fillId="0" borderId="0" xfId="0" applyFill="1"/>
    <xf numFmtId="174" fontId="0" fillId="0" borderId="0" xfId="0" applyNumberFormat="1" applyFill="1" applyBorder="1"/>
    <xf numFmtId="0" fontId="2" fillId="0" borderId="0" xfId="0" applyFont="1" applyBorder="1" applyAlignment="1">
      <alignment horizontal="center" vertical="center"/>
    </xf>
    <xf numFmtId="172" fontId="2" fillId="0" borderId="0" xfId="1" applyNumberFormat="1" applyFont="1" applyBorder="1" applyAlignment="1">
      <alignment horizontal="center" vertical="center"/>
    </xf>
    <xf numFmtId="0" fontId="16" fillId="0" borderId="0" xfId="0" applyFont="1"/>
    <xf numFmtId="0" fontId="16" fillId="2" borderId="1" xfId="0" applyFont="1" applyFill="1" applyBorder="1" applyAlignment="1">
      <alignment horizontal="center" vertical="center"/>
    </xf>
    <xf numFmtId="165" fontId="0" fillId="4" borderId="1" xfId="2" applyFont="1" applyFill="1" applyBorder="1" applyProtection="1">
      <protection locked="0"/>
    </xf>
    <xf numFmtId="165" fontId="0" fillId="4" borderId="1" xfId="2" applyFont="1" applyFill="1" applyBorder="1" applyAlignment="1" applyProtection="1">
      <protection locked="0"/>
    </xf>
    <xf numFmtId="165" fontId="0" fillId="4" borderId="1" xfId="0" applyNumberFormat="1" applyFill="1" applyBorder="1" applyAlignment="1" applyProtection="1">
      <alignment horizontal="center" vertical="center"/>
      <protection locked="0"/>
    </xf>
    <xf numFmtId="165" fontId="0" fillId="4" borderId="1" xfId="2" applyFont="1" applyFill="1" applyBorder="1" applyAlignment="1" applyProtection="1">
      <alignment horizontal="center" vertical="center"/>
      <protection locked="0"/>
    </xf>
    <xf numFmtId="43" fontId="0" fillId="4" borderId="1" xfId="0" applyNumberFormat="1" applyFill="1" applyBorder="1" applyAlignment="1" applyProtection="1">
      <alignment horizontal="center" vertical="center"/>
      <protection locked="0"/>
    </xf>
    <xf numFmtId="171" fontId="0" fillId="4" borderId="1" xfId="1" applyNumberFormat="1" applyFont="1" applyFill="1" applyBorder="1" applyProtection="1">
      <protection locked="0"/>
    </xf>
    <xf numFmtId="168" fontId="0" fillId="4" borderId="1" xfId="1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2" fontId="10" fillId="4" borderId="1" xfId="0" applyNumberFormat="1" applyFont="1" applyFill="1" applyBorder="1" applyAlignment="1" applyProtection="1">
      <alignment horizontal="center" vertical="center"/>
      <protection locked="0"/>
    </xf>
    <xf numFmtId="43" fontId="0" fillId="4" borderId="1" xfId="1" applyFont="1" applyFill="1" applyBorder="1" applyAlignment="1">
      <alignment horizontal="center" vertical="center"/>
    </xf>
    <xf numFmtId="43" fontId="0" fillId="4" borderId="1" xfId="1" applyNumberFormat="1" applyFont="1" applyFill="1" applyBorder="1" applyAlignment="1">
      <alignment horizontal="center" vertical="center"/>
    </xf>
    <xf numFmtId="9" fontId="10" fillId="4" borderId="1" xfId="3" applyFont="1" applyFill="1" applyBorder="1" applyAlignment="1" applyProtection="1">
      <alignment horizontal="center" vertical="center"/>
      <protection locked="0"/>
    </xf>
    <xf numFmtId="43" fontId="10" fillId="4" borderId="1" xfId="1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left"/>
    </xf>
    <xf numFmtId="0" fontId="0" fillId="2" borderId="31" xfId="0" applyFont="1" applyFill="1" applyBorder="1" applyAlignment="1">
      <alignment horizontal="left"/>
    </xf>
    <xf numFmtId="0" fontId="0" fillId="2" borderId="36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0" fillId="4" borderId="1" xfId="0" applyFont="1" applyFill="1" applyBorder="1" applyAlignment="1" applyProtection="1">
      <alignment horizontal="center"/>
      <protection locked="0"/>
    </xf>
    <xf numFmtId="166" fontId="0" fillId="4" borderId="1" xfId="0" applyNumberFormat="1" applyFont="1" applyFill="1" applyBorder="1" applyAlignment="1" applyProtection="1">
      <alignment horizontal="center"/>
      <protection locked="0"/>
    </xf>
    <xf numFmtId="9" fontId="0" fillId="4" borderId="1" xfId="3" applyFont="1" applyFill="1" applyBorder="1" applyAlignment="1" applyProtection="1">
      <alignment horizontal="center"/>
      <protection locked="0"/>
    </xf>
    <xf numFmtId="164" fontId="3" fillId="0" borderId="9" xfId="1" applyNumberFormat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4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 vertical="center" wrapText="1"/>
    </xf>
    <xf numFmtId="0" fontId="0" fillId="2" borderId="2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left" vertical="top" wrapText="1"/>
    </xf>
    <xf numFmtId="0" fontId="0" fillId="2" borderId="35" xfId="0" applyFill="1" applyBorder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343255</xdr:colOff>
      <xdr:row>1</xdr:row>
      <xdr:rowOff>92527</xdr:rowOff>
    </xdr:from>
    <xdr:to>
      <xdr:col>2</xdr:col>
      <xdr:colOff>681363</xdr:colOff>
      <xdr:row>1</xdr:row>
      <xdr:rowOff>612321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5576" y="296634"/>
          <a:ext cx="950430" cy="5197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183913</xdr:colOff>
      <xdr:row>1</xdr:row>
      <xdr:rowOff>152400</xdr:rowOff>
    </xdr:from>
    <xdr:to>
      <xdr:col>2</xdr:col>
      <xdr:colOff>1454386</xdr:colOff>
      <xdr:row>4</xdr:row>
      <xdr:rowOff>238125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4988" y="457200"/>
          <a:ext cx="1489548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15</xdr:row>
      <xdr:rowOff>104777</xdr:rowOff>
    </xdr:from>
    <xdr:to>
      <xdr:col>5</xdr:col>
      <xdr:colOff>571500</xdr:colOff>
      <xdr:row>19</xdr:row>
      <xdr:rowOff>133351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533525" y="3390902"/>
          <a:ext cx="1771650" cy="80962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17</xdr:col>
      <xdr:colOff>276224</xdr:colOff>
      <xdr:row>16</xdr:row>
      <xdr:rowOff>9525</xdr:rowOff>
    </xdr:from>
    <xdr:to>
      <xdr:col>20</xdr:col>
      <xdr:colOff>114299</xdr:colOff>
      <xdr:row>18</xdr:row>
      <xdr:rowOff>142875</xdr:rowOff>
    </xdr:to>
    <xdr:sp macro="" textlink="">
      <xdr:nvSpPr>
        <xdr:cNvPr id="3" name="Triângulo isósceles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029824" y="3486150"/>
          <a:ext cx="1724025" cy="533400"/>
        </a:xfrm>
        <a:prstGeom prst="triangl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571501</xdr:colOff>
      <xdr:row>12</xdr:row>
      <xdr:rowOff>171450</xdr:rowOff>
    </xdr:from>
    <xdr:to>
      <xdr:col>14</xdr:col>
      <xdr:colOff>571501</xdr:colOff>
      <xdr:row>32</xdr:row>
      <xdr:rowOff>38100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3933826" y="2886075"/>
          <a:ext cx="4914900" cy="3800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47626</xdr:colOff>
      <xdr:row>13</xdr:row>
      <xdr:rowOff>76200</xdr:rowOff>
    </xdr:from>
    <xdr:to>
      <xdr:col>9</xdr:col>
      <xdr:colOff>400050</xdr:colOff>
      <xdr:row>22</xdr:row>
      <xdr:rowOff>104775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4038601" y="2981325"/>
          <a:ext cx="1457324" cy="1790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47626</xdr:colOff>
      <xdr:row>23</xdr:row>
      <xdr:rowOff>38100</xdr:rowOff>
    </xdr:from>
    <xdr:to>
      <xdr:col>11</xdr:col>
      <xdr:colOff>152400</xdr:colOff>
      <xdr:row>31</xdr:row>
      <xdr:rowOff>142875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4038601" y="4895850"/>
          <a:ext cx="2428874" cy="16954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514350</xdr:colOff>
      <xdr:row>13</xdr:row>
      <xdr:rowOff>76200</xdr:rowOff>
    </xdr:from>
    <xdr:to>
      <xdr:col>11</xdr:col>
      <xdr:colOff>161926</xdr:colOff>
      <xdr:row>19</xdr:row>
      <xdr:rowOff>47625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5610225" y="2981325"/>
          <a:ext cx="866776" cy="1133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514350</xdr:colOff>
      <xdr:row>19</xdr:row>
      <xdr:rowOff>142875</xdr:rowOff>
    </xdr:from>
    <xdr:to>
      <xdr:col>11</xdr:col>
      <xdr:colOff>161926</xdr:colOff>
      <xdr:row>22</xdr:row>
      <xdr:rowOff>104775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5610225" y="4210050"/>
          <a:ext cx="866776" cy="561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257175</xdr:colOff>
      <xdr:row>13</xdr:row>
      <xdr:rowOff>95250</xdr:rowOff>
    </xdr:from>
    <xdr:to>
      <xdr:col>14</xdr:col>
      <xdr:colOff>447674</xdr:colOff>
      <xdr:row>22</xdr:row>
      <xdr:rowOff>123825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6572250" y="3000375"/>
          <a:ext cx="2152649" cy="1790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257175</xdr:colOff>
      <xdr:row>23</xdr:row>
      <xdr:rowOff>47625</xdr:rowOff>
    </xdr:from>
    <xdr:to>
      <xdr:col>14</xdr:col>
      <xdr:colOff>447674</xdr:colOff>
      <xdr:row>31</xdr:row>
      <xdr:rowOff>133351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6572250" y="4905375"/>
          <a:ext cx="2152649" cy="167640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104775</xdr:colOff>
      <xdr:row>20</xdr:row>
      <xdr:rowOff>57150</xdr:rowOff>
    </xdr:from>
    <xdr:to>
      <xdr:col>5</xdr:col>
      <xdr:colOff>571500</xdr:colOff>
      <xdr:row>20</xdr:row>
      <xdr:rowOff>57150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CxnSpPr/>
      </xdr:nvCxnSpPr>
      <xdr:spPr>
        <a:xfrm>
          <a:off x="1533525" y="4324350"/>
          <a:ext cx="17716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15</xdr:row>
      <xdr:rowOff>66675</xdr:rowOff>
    </xdr:from>
    <xdr:to>
      <xdr:col>3</xdr:col>
      <xdr:colOff>38100</xdr:colOff>
      <xdr:row>19</xdr:row>
      <xdr:rowOff>142875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CxnSpPr/>
      </xdr:nvCxnSpPr>
      <xdr:spPr>
        <a:xfrm>
          <a:off x="1466850" y="3352800"/>
          <a:ext cx="0" cy="857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276225</xdr:colOff>
      <xdr:row>18</xdr:row>
      <xdr:rowOff>152402</xdr:rowOff>
    </xdr:from>
    <xdr:to>
      <xdr:col>20</xdr:col>
      <xdr:colOff>95250</xdr:colOff>
      <xdr:row>23</xdr:row>
      <xdr:rowOff>9526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10029825" y="4029077"/>
          <a:ext cx="1704975" cy="838199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20</xdr:col>
      <xdr:colOff>123825</xdr:colOff>
      <xdr:row>16</xdr:row>
      <xdr:rowOff>19050</xdr:rowOff>
    </xdr:from>
    <xdr:to>
      <xdr:col>20</xdr:col>
      <xdr:colOff>133350</xdr:colOff>
      <xdr:row>18</xdr:row>
      <xdr:rowOff>133350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 flipH="1">
          <a:off x="11763375" y="3495675"/>
          <a:ext cx="9525" cy="5143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200025</xdr:colOff>
      <xdr:row>18</xdr:row>
      <xdr:rowOff>133350</xdr:rowOff>
    </xdr:from>
    <xdr:to>
      <xdr:col>17</xdr:col>
      <xdr:colOff>200025</xdr:colOff>
      <xdr:row>23</xdr:row>
      <xdr:rowOff>38100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CxnSpPr/>
      </xdr:nvCxnSpPr>
      <xdr:spPr>
        <a:xfrm>
          <a:off x="9953625" y="4010025"/>
          <a:ext cx="0" cy="8858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12</xdr:row>
      <xdr:rowOff>180975</xdr:rowOff>
    </xdr:from>
    <xdr:to>
      <xdr:col>14</xdr:col>
      <xdr:colOff>561975</xdr:colOff>
      <xdr:row>13</xdr:row>
      <xdr:rowOff>85725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4076700" y="2895600"/>
          <a:ext cx="4762500" cy="9525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561975</xdr:colOff>
      <xdr:row>31</xdr:row>
      <xdr:rowOff>152400</xdr:rowOff>
    </xdr:from>
    <xdr:to>
      <xdr:col>14</xdr:col>
      <xdr:colOff>552450</xdr:colOff>
      <xdr:row>32</xdr:row>
      <xdr:rowOff>47625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3924300" y="6600825"/>
          <a:ext cx="4905375" cy="9525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590549</xdr:colOff>
      <xdr:row>13</xdr:row>
      <xdr:rowOff>9525</xdr:rowOff>
    </xdr:from>
    <xdr:to>
      <xdr:col>7</xdr:col>
      <xdr:colOff>57150</xdr:colOff>
      <xdr:row>32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3952874" y="2914650"/>
          <a:ext cx="95251" cy="3800475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466726</xdr:colOff>
      <xdr:row>13</xdr:row>
      <xdr:rowOff>0</xdr:rowOff>
    </xdr:from>
    <xdr:to>
      <xdr:col>14</xdr:col>
      <xdr:colOff>552450</xdr:colOff>
      <xdr:row>32</xdr:row>
      <xdr:rowOff>47625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8743951" y="2905125"/>
          <a:ext cx="85724" cy="3790950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57150</xdr:colOff>
      <xdr:row>22</xdr:row>
      <xdr:rowOff>133350</xdr:rowOff>
    </xdr:from>
    <xdr:to>
      <xdr:col>14</xdr:col>
      <xdr:colOff>438150</xdr:colOff>
      <xdr:row>23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4048125" y="4800600"/>
          <a:ext cx="4667250" cy="8572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161925</xdr:colOff>
      <xdr:row>23</xdr:row>
      <xdr:rowOff>57150</xdr:rowOff>
    </xdr:from>
    <xdr:to>
      <xdr:col>11</xdr:col>
      <xdr:colOff>247650</xdr:colOff>
      <xdr:row>31</xdr:row>
      <xdr:rowOff>133350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6477000" y="4914900"/>
          <a:ext cx="85725" cy="16668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485775</xdr:colOff>
      <xdr:row>5</xdr:row>
      <xdr:rowOff>161927</xdr:rowOff>
    </xdr:from>
    <xdr:to>
      <xdr:col>17</xdr:col>
      <xdr:colOff>285750</xdr:colOff>
      <xdr:row>10</xdr:row>
      <xdr:rowOff>9526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8553450" y="1495427"/>
          <a:ext cx="1200150" cy="828674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400050</xdr:colOff>
      <xdr:row>5</xdr:row>
      <xdr:rowOff>133350</xdr:rowOff>
    </xdr:from>
    <xdr:to>
      <xdr:col>14</xdr:col>
      <xdr:colOff>400050</xdr:colOff>
      <xdr:row>10</xdr:row>
      <xdr:rowOff>28575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CxnSpPr/>
      </xdr:nvCxnSpPr>
      <xdr:spPr>
        <a:xfrm>
          <a:off x="8467725" y="1466850"/>
          <a:ext cx="0" cy="87630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485775</xdr:colOff>
      <xdr:row>10</xdr:row>
      <xdr:rowOff>85725</xdr:rowOff>
    </xdr:from>
    <xdr:to>
      <xdr:col>17</xdr:col>
      <xdr:colOff>295276</xdr:colOff>
      <xdr:row>10</xdr:row>
      <xdr:rowOff>85725</xdr:rowOff>
    </xdr:to>
    <xdr:cxnSp macro="">
      <xdr:nvCxnSpPr>
        <xdr:cNvPr id="24" name="Conector de seta reta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CxnSpPr/>
      </xdr:nvCxnSpPr>
      <xdr:spPr>
        <a:xfrm flipH="1">
          <a:off x="8553450" y="2400300"/>
          <a:ext cx="120967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500062</xdr:colOff>
      <xdr:row>16</xdr:row>
      <xdr:rowOff>9525</xdr:rowOff>
    </xdr:from>
    <xdr:to>
      <xdr:col>20</xdr:col>
      <xdr:colOff>133350</xdr:colOff>
      <xdr:row>16</xdr:row>
      <xdr:rowOff>9525</xdr:rowOff>
    </xdr:to>
    <xdr:cxnSp macro="">
      <xdr:nvCxnSpPr>
        <xdr:cNvPr id="25" name="Conector reto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CxnSpPr>
          <a:stCxn id="3" idx="0"/>
        </xdr:cNvCxnSpPr>
      </xdr:nvCxnSpPr>
      <xdr:spPr>
        <a:xfrm>
          <a:off x="10863262" y="3486150"/>
          <a:ext cx="9096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419101</xdr:colOff>
      <xdr:row>13</xdr:row>
      <xdr:rowOff>114299</xdr:rowOff>
    </xdr:from>
    <xdr:to>
      <xdr:col>9</xdr:col>
      <xdr:colOff>495300</xdr:colOff>
      <xdr:row>22</xdr:row>
      <xdr:rowOff>104774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/>
      </xdr:nvSpPr>
      <xdr:spPr>
        <a:xfrm>
          <a:off x="5514976" y="3019424"/>
          <a:ext cx="76199" cy="1752600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171450</xdr:colOff>
      <xdr:row>13</xdr:row>
      <xdr:rowOff>85724</xdr:rowOff>
    </xdr:from>
    <xdr:to>
      <xdr:col>11</xdr:col>
      <xdr:colOff>247650</xdr:colOff>
      <xdr:row>22</xdr:row>
      <xdr:rowOff>123825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/>
      </xdr:nvSpPr>
      <xdr:spPr>
        <a:xfrm>
          <a:off x="6486525" y="2990849"/>
          <a:ext cx="76200" cy="1800226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495300</xdr:colOff>
      <xdr:row>23</xdr:row>
      <xdr:rowOff>38099</xdr:rowOff>
    </xdr:from>
    <xdr:to>
      <xdr:col>5</xdr:col>
      <xdr:colOff>238125</xdr:colOff>
      <xdr:row>27</xdr:row>
      <xdr:rowOff>9523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1924050" y="4895849"/>
          <a:ext cx="1047750" cy="771524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419100</xdr:colOff>
      <xdr:row>23</xdr:row>
      <xdr:rowOff>47625</xdr:rowOff>
    </xdr:from>
    <xdr:to>
      <xdr:col>3</xdr:col>
      <xdr:colOff>428625</xdr:colOff>
      <xdr:row>27</xdr:row>
      <xdr:rowOff>9525</xdr:rowOff>
    </xdr:to>
    <xdr:cxnSp macro="">
      <xdr:nvCxnSpPr>
        <xdr:cNvPr id="29" name="Conector de seta reta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CxnSpPr/>
      </xdr:nvCxnSpPr>
      <xdr:spPr>
        <a:xfrm>
          <a:off x="1847850" y="4905375"/>
          <a:ext cx="9525" cy="76200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27</xdr:row>
      <xdr:rowOff>95250</xdr:rowOff>
    </xdr:from>
    <xdr:to>
      <xdr:col>5</xdr:col>
      <xdr:colOff>238125</xdr:colOff>
      <xdr:row>27</xdr:row>
      <xdr:rowOff>95250</xdr:rowOff>
    </xdr:to>
    <xdr:cxnSp macro="">
      <xdr:nvCxnSpPr>
        <xdr:cNvPr id="30" name="Conector de seta reta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/>
      </xdr:nvCxnSpPr>
      <xdr:spPr>
        <a:xfrm flipH="1">
          <a:off x="1914525" y="5753100"/>
          <a:ext cx="10572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523876</xdr:colOff>
      <xdr:row>19</xdr:row>
      <xdr:rowOff>57150</xdr:rowOff>
    </xdr:from>
    <xdr:to>
      <xdr:col>11</xdr:col>
      <xdr:colOff>152400</xdr:colOff>
      <xdr:row>19</xdr:row>
      <xdr:rowOff>133350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/>
      </xdr:nvSpPr>
      <xdr:spPr>
        <a:xfrm>
          <a:off x="5619751" y="4124325"/>
          <a:ext cx="847724" cy="76200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304800</xdr:colOff>
      <xdr:row>26</xdr:row>
      <xdr:rowOff>0</xdr:rowOff>
    </xdr:from>
    <xdr:to>
      <xdr:col>19</xdr:col>
      <xdr:colOff>238125</xdr:colOff>
      <xdr:row>29</xdr:row>
      <xdr:rowOff>190499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/>
      </xdr:nvSpPr>
      <xdr:spPr>
        <a:xfrm>
          <a:off x="10668000" y="5457825"/>
          <a:ext cx="542925" cy="79057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219075</xdr:colOff>
      <xdr:row>26</xdr:row>
      <xdr:rowOff>19050</xdr:rowOff>
    </xdr:from>
    <xdr:to>
      <xdr:col>18</xdr:col>
      <xdr:colOff>228600</xdr:colOff>
      <xdr:row>30</xdr:row>
      <xdr:rowOff>9525</xdr:rowOff>
    </xdr:to>
    <xdr:cxnSp macro="">
      <xdr:nvCxnSpPr>
        <xdr:cNvPr id="33" name="Conector de seta reta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/>
      </xdr:nvCxnSpPr>
      <xdr:spPr>
        <a:xfrm>
          <a:off x="10582275" y="5476875"/>
          <a:ext cx="9525" cy="781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304800</xdr:colOff>
      <xdr:row>30</xdr:row>
      <xdr:rowOff>95250</xdr:rowOff>
    </xdr:from>
    <xdr:to>
      <xdr:col>19</xdr:col>
      <xdr:colOff>247650</xdr:colOff>
      <xdr:row>30</xdr:row>
      <xdr:rowOff>95250</xdr:rowOff>
    </xdr:to>
    <xdr:cxnSp macro="">
      <xdr:nvCxnSpPr>
        <xdr:cNvPr id="34" name="Conector de seta reta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CxnSpPr/>
      </xdr:nvCxnSpPr>
      <xdr:spPr>
        <a:xfrm flipH="1">
          <a:off x="10668000" y="6343650"/>
          <a:ext cx="552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15</xdr:row>
      <xdr:rowOff>104777</xdr:rowOff>
    </xdr:from>
    <xdr:to>
      <xdr:col>5</xdr:col>
      <xdr:colOff>571500</xdr:colOff>
      <xdr:row>19</xdr:row>
      <xdr:rowOff>133351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533525" y="3390902"/>
          <a:ext cx="1771650" cy="80962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17</xdr:col>
      <xdr:colOff>276224</xdr:colOff>
      <xdr:row>16</xdr:row>
      <xdr:rowOff>9525</xdr:rowOff>
    </xdr:from>
    <xdr:to>
      <xdr:col>20</xdr:col>
      <xdr:colOff>114299</xdr:colOff>
      <xdr:row>18</xdr:row>
      <xdr:rowOff>142875</xdr:rowOff>
    </xdr:to>
    <xdr:sp macro="" textlink="">
      <xdr:nvSpPr>
        <xdr:cNvPr id="3" name="Triângulo isósceles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10029824" y="3486150"/>
          <a:ext cx="1724025" cy="533400"/>
        </a:xfrm>
        <a:prstGeom prst="triangl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571501</xdr:colOff>
      <xdr:row>12</xdr:row>
      <xdr:rowOff>171450</xdr:rowOff>
    </xdr:from>
    <xdr:to>
      <xdr:col>14</xdr:col>
      <xdr:colOff>571501</xdr:colOff>
      <xdr:row>32</xdr:row>
      <xdr:rowOff>38100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3933826" y="2886075"/>
          <a:ext cx="4914900" cy="3800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47626</xdr:colOff>
      <xdr:row>13</xdr:row>
      <xdr:rowOff>76200</xdr:rowOff>
    </xdr:from>
    <xdr:to>
      <xdr:col>9</xdr:col>
      <xdr:colOff>400050</xdr:colOff>
      <xdr:row>22</xdr:row>
      <xdr:rowOff>104775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4038601" y="2981325"/>
          <a:ext cx="1457324" cy="1790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47626</xdr:colOff>
      <xdr:row>23</xdr:row>
      <xdr:rowOff>38100</xdr:rowOff>
    </xdr:from>
    <xdr:to>
      <xdr:col>11</xdr:col>
      <xdr:colOff>152400</xdr:colOff>
      <xdr:row>31</xdr:row>
      <xdr:rowOff>142875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4038601" y="4895850"/>
          <a:ext cx="2428874" cy="16954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514350</xdr:colOff>
      <xdr:row>13</xdr:row>
      <xdr:rowOff>76200</xdr:rowOff>
    </xdr:from>
    <xdr:to>
      <xdr:col>11</xdr:col>
      <xdr:colOff>161926</xdr:colOff>
      <xdr:row>19</xdr:row>
      <xdr:rowOff>47625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5610225" y="2981325"/>
          <a:ext cx="866776" cy="1133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514350</xdr:colOff>
      <xdr:row>19</xdr:row>
      <xdr:rowOff>142875</xdr:rowOff>
    </xdr:from>
    <xdr:to>
      <xdr:col>11</xdr:col>
      <xdr:colOff>161926</xdr:colOff>
      <xdr:row>22</xdr:row>
      <xdr:rowOff>104775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5610225" y="4210050"/>
          <a:ext cx="866776" cy="561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257175</xdr:colOff>
      <xdr:row>13</xdr:row>
      <xdr:rowOff>95250</xdr:rowOff>
    </xdr:from>
    <xdr:to>
      <xdr:col>14</xdr:col>
      <xdr:colOff>447674</xdr:colOff>
      <xdr:row>22</xdr:row>
      <xdr:rowOff>123825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6572250" y="3000375"/>
          <a:ext cx="2152649" cy="1790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257175</xdr:colOff>
      <xdr:row>23</xdr:row>
      <xdr:rowOff>47625</xdr:rowOff>
    </xdr:from>
    <xdr:to>
      <xdr:col>14</xdr:col>
      <xdr:colOff>447674</xdr:colOff>
      <xdr:row>31</xdr:row>
      <xdr:rowOff>133351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/>
      </xdr:nvSpPr>
      <xdr:spPr>
        <a:xfrm>
          <a:off x="6572250" y="4905375"/>
          <a:ext cx="2152649" cy="167640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104775</xdr:colOff>
      <xdr:row>20</xdr:row>
      <xdr:rowOff>57150</xdr:rowOff>
    </xdr:from>
    <xdr:to>
      <xdr:col>5</xdr:col>
      <xdr:colOff>571500</xdr:colOff>
      <xdr:row>20</xdr:row>
      <xdr:rowOff>57150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>
          <a:off x="1533525" y="4324350"/>
          <a:ext cx="17716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15</xdr:row>
      <xdr:rowOff>66675</xdr:rowOff>
    </xdr:from>
    <xdr:to>
      <xdr:col>3</xdr:col>
      <xdr:colOff>38100</xdr:colOff>
      <xdr:row>19</xdr:row>
      <xdr:rowOff>142875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>
          <a:off x="1466850" y="3352800"/>
          <a:ext cx="0" cy="857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276225</xdr:colOff>
      <xdr:row>18</xdr:row>
      <xdr:rowOff>152402</xdr:rowOff>
    </xdr:from>
    <xdr:to>
      <xdr:col>20</xdr:col>
      <xdr:colOff>95250</xdr:colOff>
      <xdr:row>23</xdr:row>
      <xdr:rowOff>9526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10029825" y="4029077"/>
          <a:ext cx="1704975" cy="838199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20</xdr:col>
      <xdr:colOff>123825</xdr:colOff>
      <xdr:row>16</xdr:row>
      <xdr:rowOff>19050</xdr:rowOff>
    </xdr:from>
    <xdr:to>
      <xdr:col>20</xdr:col>
      <xdr:colOff>133350</xdr:colOff>
      <xdr:row>18</xdr:row>
      <xdr:rowOff>133350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 flipH="1">
          <a:off x="11763375" y="3495675"/>
          <a:ext cx="9525" cy="5143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200025</xdr:colOff>
      <xdr:row>18</xdr:row>
      <xdr:rowOff>133350</xdr:rowOff>
    </xdr:from>
    <xdr:to>
      <xdr:col>17</xdr:col>
      <xdr:colOff>200025</xdr:colOff>
      <xdr:row>23</xdr:row>
      <xdr:rowOff>38100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9953625" y="4010025"/>
          <a:ext cx="0" cy="8858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12</xdr:row>
      <xdr:rowOff>180975</xdr:rowOff>
    </xdr:from>
    <xdr:to>
      <xdr:col>14</xdr:col>
      <xdr:colOff>561975</xdr:colOff>
      <xdr:row>13</xdr:row>
      <xdr:rowOff>76200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3933825" y="2895600"/>
          <a:ext cx="4905375" cy="857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561975</xdr:colOff>
      <xdr:row>31</xdr:row>
      <xdr:rowOff>152400</xdr:rowOff>
    </xdr:from>
    <xdr:to>
      <xdr:col>14</xdr:col>
      <xdr:colOff>552450</xdr:colOff>
      <xdr:row>32</xdr:row>
      <xdr:rowOff>47625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/>
      </xdr:nvSpPr>
      <xdr:spPr>
        <a:xfrm>
          <a:off x="3924300" y="6600825"/>
          <a:ext cx="4905375" cy="9525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590550</xdr:colOff>
      <xdr:row>12</xdr:row>
      <xdr:rowOff>171451</xdr:rowOff>
    </xdr:from>
    <xdr:to>
      <xdr:col>7</xdr:col>
      <xdr:colOff>47625</xdr:colOff>
      <xdr:row>32</xdr:row>
      <xdr:rowOff>47626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/>
      </xdr:nvSpPr>
      <xdr:spPr>
        <a:xfrm>
          <a:off x="3952875" y="2886076"/>
          <a:ext cx="85725" cy="3810000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476249</xdr:colOff>
      <xdr:row>13</xdr:row>
      <xdr:rowOff>19050</xdr:rowOff>
    </xdr:from>
    <xdr:to>
      <xdr:col>14</xdr:col>
      <xdr:colOff>571500</xdr:colOff>
      <xdr:row>32</xdr:row>
      <xdr:rowOff>85725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8753474" y="2924175"/>
          <a:ext cx="95251" cy="3810000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57150</xdr:colOff>
      <xdr:row>22</xdr:row>
      <xdr:rowOff>133350</xdr:rowOff>
    </xdr:from>
    <xdr:to>
      <xdr:col>14</xdr:col>
      <xdr:colOff>438150</xdr:colOff>
      <xdr:row>23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/>
      </xdr:nvSpPr>
      <xdr:spPr>
        <a:xfrm>
          <a:off x="4048125" y="4800600"/>
          <a:ext cx="4667250" cy="857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161925</xdr:colOff>
      <xdr:row>23</xdr:row>
      <xdr:rowOff>57150</xdr:rowOff>
    </xdr:from>
    <xdr:to>
      <xdr:col>11</xdr:col>
      <xdr:colOff>247650</xdr:colOff>
      <xdr:row>31</xdr:row>
      <xdr:rowOff>133350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6477000" y="4914900"/>
          <a:ext cx="85725" cy="16668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15</xdr:col>
      <xdr:colOff>152400</xdr:colOff>
      <xdr:row>5</xdr:row>
      <xdr:rowOff>171452</xdr:rowOff>
    </xdr:from>
    <xdr:to>
      <xdr:col>17</xdr:col>
      <xdr:colOff>523875</xdr:colOff>
      <xdr:row>10</xdr:row>
      <xdr:rowOff>19051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>
          <a:off x="8734425" y="1504952"/>
          <a:ext cx="1200150" cy="838199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15</xdr:col>
      <xdr:colOff>66675</xdr:colOff>
      <xdr:row>5</xdr:row>
      <xdr:rowOff>171450</xdr:rowOff>
    </xdr:from>
    <xdr:to>
      <xdr:col>15</xdr:col>
      <xdr:colOff>66675</xdr:colOff>
      <xdr:row>10</xdr:row>
      <xdr:rowOff>66675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/>
      </xdr:nvCxnSpPr>
      <xdr:spPr>
        <a:xfrm>
          <a:off x="8648700" y="1504950"/>
          <a:ext cx="0" cy="8858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133350</xdr:colOff>
      <xdr:row>10</xdr:row>
      <xdr:rowOff>104775</xdr:rowOff>
    </xdr:from>
    <xdr:to>
      <xdr:col>17</xdr:col>
      <xdr:colOff>514351</xdr:colOff>
      <xdr:row>10</xdr:row>
      <xdr:rowOff>104775</xdr:rowOff>
    </xdr:to>
    <xdr:cxnSp macro="">
      <xdr:nvCxnSpPr>
        <xdr:cNvPr id="24" name="Conector de seta reta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/>
      </xdr:nvCxnSpPr>
      <xdr:spPr>
        <a:xfrm flipH="1">
          <a:off x="8715375" y="2428875"/>
          <a:ext cx="120967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500062</xdr:colOff>
      <xdr:row>16</xdr:row>
      <xdr:rowOff>9525</xdr:rowOff>
    </xdr:from>
    <xdr:to>
      <xdr:col>20</xdr:col>
      <xdr:colOff>133350</xdr:colOff>
      <xdr:row>16</xdr:row>
      <xdr:rowOff>9525</xdr:rowOff>
    </xdr:to>
    <xdr:cxnSp macro="">
      <xdr:nvCxnSpPr>
        <xdr:cNvPr id="25" name="Conector reto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CxnSpPr>
          <a:stCxn id="3" idx="0"/>
        </xdr:cNvCxnSpPr>
      </xdr:nvCxnSpPr>
      <xdr:spPr>
        <a:xfrm>
          <a:off x="10863262" y="3486150"/>
          <a:ext cx="9096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419101</xdr:colOff>
      <xdr:row>13</xdr:row>
      <xdr:rowOff>114299</xdr:rowOff>
    </xdr:from>
    <xdr:to>
      <xdr:col>9</xdr:col>
      <xdr:colOff>495300</xdr:colOff>
      <xdr:row>22</xdr:row>
      <xdr:rowOff>104774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/>
      </xdr:nvSpPr>
      <xdr:spPr>
        <a:xfrm>
          <a:off x="5514976" y="3019424"/>
          <a:ext cx="76199" cy="1752600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171450</xdr:colOff>
      <xdr:row>13</xdr:row>
      <xdr:rowOff>85724</xdr:rowOff>
    </xdr:from>
    <xdr:to>
      <xdr:col>11</xdr:col>
      <xdr:colOff>247650</xdr:colOff>
      <xdr:row>22</xdr:row>
      <xdr:rowOff>123825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/>
      </xdr:nvSpPr>
      <xdr:spPr>
        <a:xfrm>
          <a:off x="6486525" y="2990849"/>
          <a:ext cx="76200" cy="1800226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495300</xdr:colOff>
      <xdr:row>23</xdr:row>
      <xdr:rowOff>38099</xdr:rowOff>
    </xdr:from>
    <xdr:to>
      <xdr:col>5</xdr:col>
      <xdr:colOff>238125</xdr:colOff>
      <xdr:row>27</xdr:row>
      <xdr:rowOff>9523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/>
      </xdr:nvSpPr>
      <xdr:spPr>
        <a:xfrm>
          <a:off x="1924050" y="4895849"/>
          <a:ext cx="1047750" cy="771524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419100</xdr:colOff>
      <xdr:row>23</xdr:row>
      <xdr:rowOff>47625</xdr:rowOff>
    </xdr:from>
    <xdr:to>
      <xdr:col>3</xdr:col>
      <xdr:colOff>428625</xdr:colOff>
      <xdr:row>27</xdr:row>
      <xdr:rowOff>9525</xdr:rowOff>
    </xdr:to>
    <xdr:cxnSp macro="">
      <xdr:nvCxnSpPr>
        <xdr:cNvPr id="29" name="Conector de seta reta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1847850" y="4905375"/>
          <a:ext cx="9525" cy="76200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27</xdr:row>
      <xdr:rowOff>95250</xdr:rowOff>
    </xdr:from>
    <xdr:to>
      <xdr:col>5</xdr:col>
      <xdr:colOff>238125</xdr:colOff>
      <xdr:row>27</xdr:row>
      <xdr:rowOff>95250</xdr:rowOff>
    </xdr:to>
    <xdr:cxnSp macro="">
      <xdr:nvCxnSpPr>
        <xdr:cNvPr id="30" name="Conector de seta reta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 flipH="1">
          <a:off x="1914525" y="5753100"/>
          <a:ext cx="10572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523876</xdr:colOff>
      <xdr:row>19</xdr:row>
      <xdr:rowOff>57150</xdr:rowOff>
    </xdr:from>
    <xdr:to>
      <xdr:col>11</xdr:col>
      <xdr:colOff>152400</xdr:colOff>
      <xdr:row>19</xdr:row>
      <xdr:rowOff>133350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/>
      </xdr:nvSpPr>
      <xdr:spPr>
        <a:xfrm>
          <a:off x="5619751" y="4124325"/>
          <a:ext cx="847724" cy="76200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304800</xdr:colOff>
      <xdr:row>26</xdr:row>
      <xdr:rowOff>0</xdr:rowOff>
    </xdr:from>
    <xdr:to>
      <xdr:col>19</xdr:col>
      <xdr:colOff>238125</xdr:colOff>
      <xdr:row>29</xdr:row>
      <xdr:rowOff>190499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10668000" y="5457825"/>
          <a:ext cx="542925" cy="79057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219075</xdr:colOff>
      <xdr:row>26</xdr:row>
      <xdr:rowOff>19050</xdr:rowOff>
    </xdr:from>
    <xdr:to>
      <xdr:col>18</xdr:col>
      <xdr:colOff>228600</xdr:colOff>
      <xdr:row>30</xdr:row>
      <xdr:rowOff>9525</xdr:rowOff>
    </xdr:to>
    <xdr:cxnSp macro="">
      <xdr:nvCxnSpPr>
        <xdr:cNvPr id="33" name="Conector de seta reta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>
        <a:xfrm>
          <a:off x="10582275" y="5476875"/>
          <a:ext cx="9525" cy="781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304800</xdr:colOff>
      <xdr:row>30</xdr:row>
      <xdr:rowOff>95250</xdr:rowOff>
    </xdr:from>
    <xdr:to>
      <xdr:col>19</xdr:col>
      <xdr:colOff>247650</xdr:colOff>
      <xdr:row>30</xdr:row>
      <xdr:rowOff>95250</xdr:rowOff>
    </xdr:to>
    <xdr:cxnSp macro="">
      <xdr:nvCxnSpPr>
        <xdr:cNvPr id="34" name="Conector de seta reta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/>
      </xdr:nvCxnSpPr>
      <xdr:spPr>
        <a:xfrm flipH="1">
          <a:off x="10668000" y="6343650"/>
          <a:ext cx="552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5</xdr:row>
      <xdr:rowOff>142877</xdr:rowOff>
    </xdr:from>
    <xdr:to>
      <xdr:col>10</xdr:col>
      <xdr:colOff>428625</xdr:colOff>
      <xdr:row>9</xdr:row>
      <xdr:rowOff>171451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/>
      </xdr:nvSpPr>
      <xdr:spPr>
        <a:xfrm>
          <a:off x="4267200" y="1476377"/>
          <a:ext cx="1771650" cy="819149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180975</xdr:colOff>
      <xdr:row>5</xdr:row>
      <xdr:rowOff>123825</xdr:rowOff>
    </xdr:from>
    <xdr:to>
      <xdr:col>7</xdr:col>
      <xdr:colOff>180975</xdr:colOff>
      <xdr:row>10</xdr:row>
      <xdr:rowOff>0</xdr:rowOff>
    </xdr:to>
    <xdr:cxnSp macro="">
      <xdr:nvCxnSpPr>
        <xdr:cNvPr id="36" name="Conector de seta reta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>
          <a:off x="4152900" y="1457325"/>
          <a:ext cx="0" cy="857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10</xdr:row>
      <xdr:rowOff>76200</xdr:rowOff>
    </xdr:from>
    <xdr:to>
      <xdr:col>10</xdr:col>
      <xdr:colOff>419100</xdr:colOff>
      <xdr:row>10</xdr:row>
      <xdr:rowOff>76200</xdr:rowOff>
    </xdr:to>
    <xdr:cxnSp macro="">
      <xdr:nvCxnSpPr>
        <xdr:cNvPr id="37" name="Conector de seta reta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CxnSpPr/>
      </xdr:nvCxnSpPr>
      <xdr:spPr>
        <a:xfrm>
          <a:off x="4257675" y="2390775"/>
          <a:ext cx="17716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zoomScale="70" zoomScaleNormal="70" zoomScalePageLayoutView="70" workbookViewId="0">
      <selection activeCell="C4" sqref="C4"/>
    </sheetView>
  </sheetViews>
  <sheetFormatPr defaultColWidth="8.59765625" defaultRowHeight="14.25" x14ac:dyDescent="0.45"/>
  <cols>
    <col min="1" max="2" width="8.59765625" style="9"/>
    <col min="3" max="3" width="95.3984375" style="9" customWidth="1"/>
    <col min="4" max="16384" width="8.59765625" style="9"/>
  </cols>
  <sheetData>
    <row r="1" spans="2:4" ht="14.65" thickBot="1" x14ac:dyDescent="0.5"/>
    <row r="2" spans="2:4" ht="51.75" customHeight="1" x14ac:dyDescent="0.45">
      <c r="B2" s="149"/>
      <c r="C2" s="152"/>
      <c r="D2" s="94"/>
    </row>
    <row r="3" spans="2:4" ht="23.25" x14ac:dyDescent="0.45">
      <c r="B3" s="17"/>
      <c r="C3" s="153" t="s">
        <v>184</v>
      </c>
      <c r="D3" s="13"/>
    </row>
    <row r="4" spans="2:4" ht="189" x14ac:dyDescent="0.45">
      <c r="B4" s="17"/>
      <c r="C4" s="154" t="s">
        <v>205</v>
      </c>
      <c r="D4" s="13"/>
    </row>
    <row r="5" spans="2:4" ht="21.4" thickBot="1" x14ac:dyDescent="0.5">
      <c r="B5" s="150"/>
      <c r="C5" s="155"/>
      <c r="D5" s="151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workbookViewId="0">
      <selection activeCell="H6" sqref="H6"/>
    </sheetView>
  </sheetViews>
  <sheetFormatPr defaultColWidth="8.59765625" defaultRowHeight="23.25" x14ac:dyDescent="0.7"/>
  <cols>
    <col min="1" max="1" width="14.73046875" style="5" bestFit="1" customWidth="1"/>
    <col min="2" max="2" width="3.265625" style="10" customWidth="1"/>
    <col min="3" max="3" width="33.73046875" style="10" bestFit="1" customWidth="1"/>
    <col min="4" max="4" width="17.73046875" style="5" bestFit="1" customWidth="1"/>
    <col min="5" max="6" width="16.59765625" style="5" bestFit="1" customWidth="1"/>
    <col min="7" max="7" width="3.265625" style="5" customWidth="1"/>
    <col min="8" max="8" width="23.59765625" style="5" customWidth="1"/>
    <col min="9" max="10" width="15.1328125" style="5" hidden="1" customWidth="1"/>
    <col min="11" max="16384" width="8.59765625" style="5"/>
  </cols>
  <sheetData>
    <row r="1" spans="1:11" ht="23.65" thickBot="1" x14ac:dyDescent="0.75">
      <c r="A1" s="72"/>
      <c r="B1" s="15"/>
      <c r="C1" s="15"/>
      <c r="D1" s="9"/>
      <c r="E1" s="9"/>
      <c r="F1" s="9"/>
      <c r="G1" s="9"/>
      <c r="H1" s="9"/>
      <c r="I1" s="9"/>
      <c r="J1" s="9"/>
      <c r="K1" s="9"/>
    </row>
    <row r="2" spans="1:11" s="23" customFormat="1" ht="18" x14ac:dyDescent="0.45">
      <c r="A2" s="12"/>
      <c r="B2" s="99"/>
      <c r="C2" s="190" t="s">
        <v>132</v>
      </c>
      <c r="D2" s="190"/>
      <c r="E2" s="190"/>
      <c r="F2" s="190"/>
      <c r="G2" s="100"/>
      <c r="H2" s="12"/>
      <c r="K2" s="12"/>
    </row>
    <row r="3" spans="1:11" s="23" customFormat="1" ht="18" x14ac:dyDescent="0.45">
      <c r="A3" s="12"/>
      <c r="B3" s="101"/>
      <c r="C3" s="191" t="s">
        <v>136</v>
      </c>
      <c r="D3" s="191"/>
      <c r="E3" s="191"/>
      <c r="F3" s="191"/>
      <c r="G3" s="102"/>
      <c r="H3" s="12"/>
      <c r="K3" s="12"/>
    </row>
    <row r="4" spans="1:11" s="4" customFormat="1" ht="18" x14ac:dyDescent="0.45">
      <c r="A4" s="12"/>
      <c r="B4" s="198" t="s">
        <v>133</v>
      </c>
      <c r="C4" s="191"/>
      <c r="D4" s="191"/>
      <c r="E4" s="191"/>
      <c r="F4" s="191"/>
      <c r="G4" s="199"/>
      <c r="H4" s="12"/>
      <c r="I4" s="16"/>
      <c r="J4" s="16"/>
      <c r="K4" s="12"/>
    </row>
    <row r="5" spans="1:11" ht="28.5" x14ac:dyDescent="0.55000000000000004">
      <c r="A5" s="9"/>
      <c r="B5" s="103"/>
      <c r="C5" s="191" t="s">
        <v>88</v>
      </c>
      <c r="D5" s="191"/>
      <c r="E5" s="191"/>
      <c r="F5" s="191"/>
      <c r="G5" s="104"/>
      <c r="H5" s="9"/>
      <c r="I5" s="6" t="s">
        <v>0</v>
      </c>
      <c r="J5" s="6" t="s">
        <v>82</v>
      </c>
      <c r="K5" s="9"/>
    </row>
    <row r="6" spans="1:11" ht="14.25" x14ac:dyDescent="0.45">
      <c r="A6" s="9"/>
      <c r="B6" s="17"/>
      <c r="C6" s="98" t="s">
        <v>85</v>
      </c>
      <c r="D6" s="200">
        <v>500</v>
      </c>
      <c r="E6" s="200"/>
      <c r="F6" s="200"/>
      <c r="G6" s="13"/>
      <c r="H6" s="9"/>
      <c r="I6" s="7">
        <v>100</v>
      </c>
      <c r="J6" s="8">
        <v>1</v>
      </c>
      <c r="K6" s="9"/>
    </row>
    <row r="7" spans="1:11" ht="14.25" x14ac:dyDescent="0.45">
      <c r="A7" s="9"/>
      <c r="B7" s="17"/>
      <c r="C7" s="98" t="s">
        <v>86</v>
      </c>
      <c r="D7" s="201">
        <v>4</v>
      </c>
      <c r="E7" s="201"/>
      <c r="F7" s="201"/>
      <c r="G7" s="13"/>
      <c r="H7" s="9"/>
      <c r="I7" s="7">
        <v>200</v>
      </c>
      <c r="J7" s="8">
        <v>2</v>
      </c>
      <c r="K7" s="9"/>
    </row>
    <row r="8" spans="1:11" ht="14.25" x14ac:dyDescent="0.45">
      <c r="A8" s="9"/>
      <c r="B8" s="17"/>
      <c r="C8" s="98" t="s">
        <v>87</v>
      </c>
      <c r="D8" s="202">
        <v>0.8</v>
      </c>
      <c r="E8" s="202"/>
      <c r="F8" s="202"/>
      <c r="G8" s="13"/>
      <c r="H8" s="9"/>
      <c r="I8" s="7">
        <v>300</v>
      </c>
      <c r="J8" s="8">
        <v>3</v>
      </c>
      <c r="K8" s="9"/>
    </row>
    <row r="9" spans="1:11" x14ac:dyDescent="0.7">
      <c r="A9" s="9"/>
      <c r="B9" s="14"/>
      <c r="C9" s="15"/>
      <c r="D9" s="9"/>
      <c r="E9" s="9"/>
      <c r="F9" s="9"/>
      <c r="G9" s="13"/>
      <c r="H9" s="9"/>
      <c r="I9" s="7">
        <v>400</v>
      </c>
      <c r="J9" s="8">
        <v>3.5</v>
      </c>
      <c r="K9" s="9"/>
    </row>
    <row r="10" spans="1:11" x14ac:dyDescent="0.7">
      <c r="A10" s="9"/>
      <c r="B10" s="14"/>
      <c r="C10" s="195" t="s">
        <v>93</v>
      </c>
      <c r="D10" s="196"/>
      <c r="E10" s="196"/>
      <c r="F10" s="197"/>
      <c r="G10" s="13"/>
      <c r="H10" s="9"/>
      <c r="I10" s="7">
        <v>500</v>
      </c>
      <c r="J10" s="8">
        <v>4</v>
      </c>
      <c r="K10" s="9"/>
    </row>
    <row r="11" spans="1:11" ht="21" x14ac:dyDescent="0.45">
      <c r="A11" s="9"/>
      <c r="B11" s="17"/>
      <c r="C11" s="105" t="s">
        <v>91</v>
      </c>
      <c r="D11" s="203">
        <f>E22</f>
        <v>2857.8105385305571</v>
      </c>
      <c r="E11" s="204"/>
      <c r="F11" s="106">
        <f>PARÂMETROS!E23</f>
        <v>0.50188300015116749</v>
      </c>
      <c r="G11" s="13"/>
      <c r="H11" s="9"/>
      <c r="I11" s="9"/>
      <c r="J11" s="9"/>
      <c r="K11" s="9"/>
    </row>
    <row r="12" spans="1:11" ht="21" x14ac:dyDescent="0.45">
      <c r="A12" s="9"/>
      <c r="B12" s="17"/>
      <c r="C12" s="105" t="s">
        <v>92</v>
      </c>
      <c r="D12" s="203">
        <f>F22</f>
        <v>3495.4619585305572</v>
      </c>
      <c r="E12" s="204"/>
      <c r="F12" s="106">
        <f>F23</f>
        <v>0.69127744687309023</v>
      </c>
      <c r="G12" s="13"/>
      <c r="H12" s="9"/>
      <c r="I12" s="9"/>
      <c r="J12" s="9"/>
      <c r="K12" s="9"/>
    </row>
    <row r="13" spans="1:11" ht="33" customHeight="1" thickBot="1" x14ac:dyDescent="0.5">
      <c r="A13" s="9"/>
      <c r="B13" s="192" t="s">
        <v>159</v>
      </c>
      <c r="C13" s="193"/>
      <c r="D13" s="193"/>
      <c r="E13" s="193"/>
      <c r="F13" s="193"/>
      <c r="G13" s="194"/>
      <c r="H13" s="9"/>
      <c r="I13" s="9"/>
      <c r="J13" s="9"/>
      <c r="K13" s="9"/>
    </row>
    <row r="14" spans="1:11" x14ac:dyDescent="0.7">
      <c r="A14" s="9"/>
      <c r="B14" s="95"/>
      <c r="C14" s="185" t="s">
        <v>157</v>
      </c>
      <c r="D14" s="185"/>
      <c r="E14" s="185"/>
      <c r="F14" s="185"/>
      <c r="G14" s="94"/>
      <c r="H14" s="9"/>
      <c r="I14" s="9"/>
      <c r="J14" s="9"/>
      <c r="K14" s="9"/>
    </row>
    <row r="15" spans="1:11" x14ac:dyDescent="0.7">
      <c r="B15" s="14"/>
      <c r="C15" s="189" t="s">
        <v>90</v>
      </c>
      <c r="D15" s="189"/>
      <c r="E15" s="189"/>
      <c r="F15" s="189"/>
      <c r="G15" s="13"/>
    </row>
    <row r="16" spans="1:11" x14ac:dyDescent="0.7">
      <c r="B16" s="14"/>
      <c r="C16" s="2" t="s">
        <v>4</v>
      </c>
      <c r="D16" s="2" t="s">
        <v>84</v>
      </c>
      <c r="E16" s="3" t="s">
        <v>187</v>
      </c>
      <c r="F16" s="3" t="s">
        <v>189</v>
      </c>
      <c r="G16" s="13"/>
    </row>
    <row r="17" spans="2:7" x14ac:dyDescent="0.7">
      <c r="B17" s="14"/>
      <c r="C17" s="107" t="s">
        <v>81</v>
      </c>
      <c r="D17" s="11" t="s">
        <v>89</v>
      </c>
      <c r="E17" s="11">
        <f>VLOOKUP(D6,CANTEIRO!E25:F30,2,FALSE)</f>
        <v>637.65142000000014</v>
      </c>
      <c r="F17" s="11" t="s">
        <v>89</v>
      </c>
      <c r="G17" s="13"/>
    </row>
    <row r="18" spans="2:7" x14ac:dyDescent="0.7">
      <c r="B18" s="14"/>
      <c r="C18" s="107" t="s">
        <v>19</v>
      </c>
      <c r="D18" s="11" t="s">
        <v>89</v>
      </c>
      <c r="E18" s="11">
        <f>VLOOKUP(D6,CANTEIRO!B10:C15,2,FALSE)</f>
        <v>102.42825999999999</v>
      </c>
      <c r="F18" s="11">
        <f>E18</f>
        <v>102.42825999999999</v>
      </c>
      <c r="G18" s="13"/>
    </row>
    <row r="19" spans="2:7" x14ac:dyDescent="0.7">
      <c r="B19" s="14"/>
      <c r="C19" s="107" t="s">
        <v>3</v>
      </c>
      <c r="D19" s="11">
        <f>INSUMOS!M11</f>
        <v>3562.3928635190796</v>
      </c>
      <c r="E19" s="11">
        <f>INSUMOS!F18</f>
        <v>2585.3938982173613</v>
      </c>
      <c r="F19" s="11">
        <f>E19</f>
        <v>2585.3938982173613</v>
      </c>
      <c r="G19" s="13"/>
    </row>
    <row r="20" spans="2:7" x14ac:dyDescent="0.7">
      <c r="B20" s="14"/>
      <c r="C20" s="108" t="s">
        <v>130</v>
      </c>
      <c r="D20" s="11">
        <f>VLOOKUP(D7,'MO E EQ'!M28:N33,2,FALSE)</f>
        <v>4989.5944805015679</v>
      </c>
      <c r="E20" s="11">
        <f>VLOOKUP(D7,'MO E EQ'!E34:F39,2,FALSE)</f>
        <v>2368.7032272727274</v>
      </c>
      <c r="F20" s="11">
        <f>E20</f>
        <v>2368.7032272727274</v>
      </c>
      <c r="G20" s="13"/>
    </row>
    <row r="21" spans="2:7" x14ac:dyDescent="0.7">
      <c r="B21" s="14"/>
      <c r="C21" s="156" t="s">
        <v>1</v>
      </c>
      <c r="D21" s="11">
        <f>SUM(D18:D20)</f>
        <v>8551.9873440206466</v>
      </c>
      <c r="E21" s="11">
        <f>SUM(E17:E20)</f>
        <v>5694.1768054900895</v>
      </c>
      <c r="F21" s="11">
        <f>SUM(F17:F20)</f>
        <v>5056.5253854900893</v>
      </c>
      <c r="G21" s="13"/>
    </row>
    <row r="22" spans="2:7" x14ac:dyDescent="0.7">
      <c r="B22" s="14"/>
      <c r="C22" s="1" t="s">
        <v>188</v>
      </c>
      <c r="D22" s="11" t="s">
        <v>89</v>
      </c>
      <c r="E22" s="157">
        <f>D21-E21</f>
        <v>2857.8105385305571</v>
      </c>
      <c r="F22" s="157">
        <f>D21-F21</f>
        <v>3495.4619585305572</v>
      </c>
      <c r="G22" s="13"/>
    </row>
    <row r="23" spans="2:7" x14ac:dyDescent="0.7">
      <c r="B23" s="14"/>
      <c r="C23" s="1" t="s">
        <v>190</v>
      </c>
      <c r="D23" s="11" t="s">
        <v>89</v>
      </c>
      <c r="E23" s="158">
        <f>E22/E21</f>
        <v>0.50188300015116749</v>
      </c>
      <c r="F23" s="158">
        <f>F22/F21</f>
        <v>0.69127744687309023</v>
      </c>
      <c r="G23" s="13"/>
    </row>
    <row r="24" spans="2:7" ht="6" customHeight="1" thickBot="1" x14ac:dyDescent="0.75">
      <c r="B24" s="14"/>
      <c r="C24" s="16"/>
      <c r="D24" s="96"/>
      <c r="E24" s="96"/>
      <c r="F24" s="97"/>
      <c r="G24" s="13"/>
    </row>
    <row r="25" spans="2:7" ht="14.65" thickBot="1" x14ac:dyDescent="0.5">
      <c r="B25" s="186" t="s">
        <v>158</v>
      </c>
      <c r="C25" s="187"/>
      <c r="D25" s="187"/>
      <c r="E25" s="187"/>
      <c r="F25" s="187"/>
      <c r="G25" s="188"/>
    </row>
  </sheetData>
  <sheetProtection sheet="1" objects="1" scenarios="1"/>
  <dataConsolidate/>
  <mergeCells count="14">
    <mergeCell ref="C14:F14"/>
    <mergeCell ref="B25:G25"/>
    <mergeCell ref="C15:F15"/>
    <mergeCell ref="C2:F2"/>
    <mergeCell ref="C3:F3"/>
    <mergeCell ref="B13:G13"/>
    <mergeCell ref="C10:F10"/>
    <mergeCell ref="B4:G4"/>
    <mergeCell ref="C5:F5"/>
    <mergeCell ref="D6:F6"/>
    <mergeCell ref="D7:F7"/>
    <mergeCell ref="D8:F8"/>
    <mergeCell ref="D11:E11"/>
    <mergeCell ref="D12:E12"/>
  </mergeCells>
  <dataValidations count="2">
    <dataValidation type="list" allowBlank="1" showInputMessage="1" showErrorMessage="1" sqref="D7:F7" xr:uid="{00000000-0002-0000-0100-000000000000}">
      <formula1>$J$6:$J$10</formula1>
    </dataValidation>
    <dataValidation type="list" allowBlank="1" showInputMessage="1" showErrorMessage="1" sqref="D6:F6" xr:uid="{00000000-0002-0000-0100-000001000000}">
      <formula1>$I$6:$I$10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paperSize="9" scale="79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"/>
  <sheetViews>
    <sheetView workbookViewId="0">
      <selection activeCell="B2" sqref="B2:C2"/>
    </sheetView>
  </sheetViews>
  <sheetFormatPr defaultColWidth="8.59765625" defaultRowHeight="14.25" x14ac:dyDescent="0.45"/>
  <cols>
    <col min="1" max="1" width="11.59765625" style="5" bestFit="1" customWidth="1"/>
    <col min="2" max="2" width="25.86328125" style="5" bestFit="1" customWidth="1"/>
    <col min="3" max="3" width="14.1328125" style="38" bestFit="1" customWidth="1"/>
    <col min="4" max="4" width="5.3984375" style="5" customWidth="1"/>
    <col min="5" max="5" width="32.265625" style="5" bestFit="1" customWidth="1"/>
    <col min="6" max="6" width="26.73046875" style="38" customWidth="1"/>
    <col min="7" max="7" width="8.59765625" style="5"/>
    <col min="8" max="8" width="12.1328125" style="5" bestFit="1" customWidth="1"/>
    <col min="9" max="16384" width="8.59765625" style="5"/>
  </cols>
  <sheetData>
    <row r="1" spans="1:6" ht="21" x14ac:dyDescent="0.45">
      <c r="A1" s="71"/>
      <c r="B1" s="209" t="s">
        <v>146</v>
      </c>
      <c r="C1" s="209"/>
      <c r="D1" s="209"/>
      <c r="E1" s="209"/>
      <c r="F1" s="209"/>
    </row>
    <row r="2" spans="1:6" s="40" customFormat="1" ht="42.75" customHeight="1" x14ac:dyDescent="0.45">
      <c r="B2" s="205" t="s">
        <v>57</v>
      </c>
      <c r="C2" s="206"/>
      <c r="E2" s="207" t="s">
        <v>56</v>
      </c>
      <c r="F2" s="208"/>
    </row>
    <row r="3" spans="1:6" s="28" customFormat="1" x14ac:dyDescent="0.45">
      <c r="B3" s="19" t="s">
        <v>4</v>
      </c>
      <c r="C3" s="25" t="s">
        <v>1</v>
      </c>
      <c r="E3" s="19" t="s">
        <v>4</v>
      </c>
      <c r="F3" s="25" t="s">
        <v>1</v>
      </c>
    </row>
    <row r="4" spans="1:6" x14ac:dyDescent="0.45">
      <c r="B4" s="36" t="s">
        <v>16</v>
      </c>
      <c r="C4" s="172">
        <v>4150</v>
      </c>
      <c r="E4" s="36" t="s">
        <v>23</v>
      </c>
      <c r="F4" s="172">
        <v>194240.54</v>
      </c>
    </row>
    <row r="5" spans="1:6" x14ac:dyDescent="0.45">
      <c r="B5" s="36" t="s">
        <v>13</v>
      </c>
      <c r="C5" s="172">
        <v>33679.449999999997</v>
      </c>
      <c r="E5" s="36" t="s">
        <v>22</v>
      </c>
      <c r="F5" s="172">
        <v>29371.09</v>
      </c>
    </row>
    <row r="6" spans="1:6" x14ac:dyDescent="0.45">
      <c r="B6" s="36" t="s">
        <v>14</v>
      </c>
      <c r="C6" s="172">
        <v>7785.4</v>
      </c>
      <c r="E6" s="36" t="s">
        <v>20</v>
      </c>
      <c r="F6" s="172">
        <v>9965</v>
      </c>
    </row>
    <row r="7" spans="1:6" x14ac:dyDescent="0.45">
      <c r="B7" s="36" t="s">
        <v>15</v>
      </c>
      <c r="C7" s="172">
        <v>5599.28</v>
      </c>
      <c r="E7" s="36" t="s">
        <v>24</v>
      </c>
      <c r="F7" s="172">
        <v>14256.33</v>
      </c>
    </row>
    <row r="8" spans="1:6" x14ac:dyDescent="0.45">
      <c r="B8" s="19" t="s">
        <v>17</v>
      </c>
      <c r="C8" s="25">
        <f>SUM(C4:C7)</f>
        <v>51214.13</v>
      </c>
      <c r="E8" s="36" t="s">
        <v>21</v>
      </c>
      <c r="F8" s="172">
        <v>13500</v>
      </c>
    </row>
    <row r="9" spans="1:6" x14ac:dyDescent="0.45">
      <c r="E9" s="36" t="s">
        <v>31</v>
      </c>
      <c r="F9" s="172">
        <v>15198.97</v>
      </c>
    </row>
    <row r="10" spans="1:6" x14ac:dyDescent="0.45">
      <c r="B10" s="19" t="s">
        <v>18</v>
      </c>
      <c r="C10" s="25" t="s">
        <v>1</v>
      </c>
      <c r="E10" s="36" t="s">
        <v>26</v>
      </c>
      <c r="F10" s="172">
        <v>8379.39</v>
      </c>
    </row>
    <row r="11" spans="1:6" x14ac:dyDescent="0.45">
      <c r="B11" s="36">
        <v>100</v>
      </c>
      <c r="C11" s="41">
        <f>$C$8/B11</f>
        <v>512.1413</v>
      </c>
      <c r="E11" s="36" t="s">
        <v>28</v>
      </c>
      <c r="F11" s="172">
        <v>3969.34</v>
      </c>
    </row>
    <row r="12" spans="1:6" x14ac:dyDescent="0.45">
      <c r="B12" s="36">
        <v>200</v>
      </c>
      <c r="C12" s="41">
        <f t="shared" ref="C12:C15" si="0">$C$8/B12</f>
        <v>256.07065</v>
      </c>
      <c r="E12" s="36" t="s">
        <v>27</v>
      </c>
      <c r="F12" s="172">
        <v>6446.19</v>
      </c>
    </row>
    <row r="13" spans="1:6" x14ac:dyDescent="0.45">
      <c r="B13" s="36">
        <v>300</v>
      </c>
      <c r="C13" s="41">
        <f t="shared" si="0"/>
        <v>170.71376666666666</v>
      </c>
      <c r="E13" s="36" t="s">
        <v>25</v>
      </c>
      <c r="F13" s="172">
        <v>6977.25</v>
      </c>
    </row>
    <row r="14" spans="1:6" x14ac:dyDescent="0.45">
      <c r="B14" s="36">
        <v>400</v>
      </c>
      <c r="C14" s="41">
        <f t="shared" si="0"/>
        <v>128.035325</v>
      </c>
      <c r="E14" s="36" t="s">
        <v>29</v>
      </c>
      <c r="F14" s="172">
        <v>1882.28</v>
      </c>
    </row>
    <row r="15" spans="1:6" x14ac:dyDescent="0.45">
      <c r="B15" s="36">
        <v>500</v>
      </c>
      <c r="C15" s="41">
        <f t="shared" si="0"/>
        <v>102.42825999999999</v>
      </c>
      <c r="E15" s="36" t="s">
        <v>30</v>
      </c>
      <c r="F15" s="172">
        <v>450</v>
      </c>
    </row>
    <row r="16" spans="1:6" x14ac:dyDescent="0.45">
      <c r="E16" s="36" t="s">
        <v>32</v>
      </c>
      <c r="F16" s="173">
        <v>685.8</v>
      </c>
    </row>
    <row r="17" spans="5:8" x14ac:dyDescent="0.45">
      <c r="E17" s="36" t="s">
        <v>193</v>
      </c>
      <c r="F17" s="173">
        <v>841.08</v>
      </c>
    </row>
    <row r="18" spans="5:8" x14ac:dyDescent="0.45">
      <c r="E18" s="36" t="s">
        <v>194</v>
      </c>
      <c r="F18" s="173">
        <v>794.42</v>
      </c>
    </row>
    <row r="19" spans="5:8" x14ac:dyDescent="0.45">
      <c r="E19" s="36" t="s">
        <v>195</v>
      </c>
      <c r="F19" s="173">
        <v>1009.69</v>
      </c>
    </row>
    <row r="20" spans="5:8" x14ac:dyDescent="0.45">
      <c r="E20" s="36" t="s">
        <v>196</v>
      </c>
      <c r="F20" s="173">
        <v>9258.9500000000007</v>
      </c>
    </row>
    <row r="21" spans="5:8" x14ac:dyDescent="0.45">
      <c r="E21" s="36" t="s">
        <v>197</v>
      </c>
      <c r="F21" s="173">
        <v>948</v>
      </c>
    </row>
    <row r="22" spans="5:8" x14ac:dyDescent="0.45">
      <c r="E22" s="36" t="s">
        <v>198</v>
      </c>
      <c r="F22" s="173">
        <v>651.39</v>
      </c>
    </row>
    <row r="23" spans="5:8" x14ac:dyDescent="0.45">
      <c r="E23" s="19" t="s">
        <v>17</v>
      </c>
      <c r="F23" s="25">
        <f>SUM(F4:F22)</f>
        <v>318825.71000000008</v>
      </c>
      <c r="H23" s="34"/>
    </row>
    <row r="25" spans="5:8" x14ac:dyDescent="0.45">
      <c r="E25" s="19" t="s">
        <v>18</v>
      </c>
      <c r="F25" s="25" t="s">
        <v>1</v>
      </c>
    </row>
    <row r="26" spans="5:8" x14ac:dyDescent="0.45">
      <c r="E26" s="36">
        <v>100</v>
      </c>
      <c r="F26" s="41">
        <f>$F$23/E26</f>
        <v>3188.2571000000007</v>
      </c>
    </row>
    <row r="27" spans="5:8" x14ac:dyDescent="0.45">
      <c r="E27" s="36">
        <v>200</v>
      </c>
      <c r="F27" s="41">
        <f t="shared" ref="F27:F30" si="1">$F$23/E27</f>
        <v>1594.1285500000004</v>
      </c>
    </row>
    <row r="28" spans="5:8" x14ac:dyDescent="0.45">
      <c r="E28" s="36">
        <v>300</v>
      </c>
      <c r="F28" s="41">
        <f t="shared" si="1"/>
        <v>1062.7523666666668</v>
      </c>
    </row>
    <row r="29" spans="5:8" x14ac:dyDescent="0.45">
      <c r="E29" s="36">
        <v>400</v>
      </c>
      <c r="F29" s="41">
        <f t="shared" si="1"/>
        <v>797.06427500000018</v>
      </c>
    </row>
    <row r="30" spans="5:8" x14ac:dyDescent="0.45">
      <c r="E30" s="36">
        <v>500</v>
      </c>
      <c r="F30" s="41">
        <f t="shared" si="1"/>
        <v>637.65142000000014</v>
      </c>
    </row>
  </sheetData>
  <sortState xmlns:xlrd2="http://schemas.microsoft.com/office/spreadsheetml/2017/richdata2" ref="E4:F16">
    <sortCondition descending="1" ref="F3"/>
  </sortState>
  <mergeCells count="3">
    <mergeCell ref="B2:C2"/>
    <mergeCell ref="E2:F2"/>
    <mergeCell ref="B1:F1"/>
  </mergeCells>
  <pageMargins left="0.511811024" right="0.511811024" top="0.78740157499999996" bottom="0.78740157499999996" header="0.31496062000000002" footer="0.31496062000000002"/>
  <pageSetup paperSize="9" scale="67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6"/>
  <sheetViews>
    <sheetView workbookViewId="0">
      <selection activeCell="B2" sqref="B2"/>
    </sheetView>
  </sheetViews>
  <sheetFormatPr defaultColWidth="8.59765625" defaultRowHeight="14.25" x14ac:dyDescent="0.45"/>
  <cols>
    <col min="1" max="1" width="11.59765625" style="5" bestFit="1" customWidth="1"/>
    <col min="2" max="2" width="24" style="4" bestFit="1" customWidth="1"/>
    <col min="3" max="3" width="14.1328125" style="4" bestFit="1" customWidth="1"/>
    <col min="4" max="4" width="15.265625" style="4" bestFit="1" customWidth="1"/>
    <col min="5" max="5" width="17.265625" style="4" bestFit="1" customWidth="1"/>
    <col min="6" max="6" width="3.1328125" style="4" customWidth="1"/>
    <col min="7" max="7" width="31.1328125" style="5" bestFit="1" customWidth="1"/>
    <col min="8" max="8" width="11.3984375" style="5" bestFit="1" customWidth="1"/>
    <col min="9" max="16384" width="8.59765625" style="5"/>
  </cols>
  <sheetData>
    <row r="1" spans="1:8" ht="21" x14ac:dyDescent="0.45">
      <c r="A1" s="71"/>
      <c r="B1" s="210" t="s">
        <v>147</v>
      </c>
      <c r="C1" s="210"/>
      <c r="D1" s="210"/>
      <c r="E1" s="210"/>
      <c r="F1" s="210"/>
      <c r="G1" s="210"/>
      <c r="H1" s="210"/>
    </row>
    <row r="2" spans="1:8" ht="28.5" x14ac:dyDescent="0.45">
      <c r="B2" s="6" t="s">
        <v>4</v>
      </c>
      <c r="C2" s="6" t="s">
        <v>38</v>
      </c>
      <c r="D2" s="6" t="s">
        <v>41</v>
      </c>
      <c r="E2" s="6" t="str">
        <f>"Custo Hora + Leis Sociais - "&amp;PARÂMETROS!D8*100&amp;"%"</f>
        <v>Custo Hora + Leis Sociais - 80%</v>
      </c>
      <c r="F2" s="5"/>
      <c r="G2" s="19" t="s">
        <v>4</v>
      </c>
      <c r="H2" s="19" t="s">
        <v>49</v>
      </c>
    </row>
    <row r="3" spans="1:8" x14ac:dyDescent="0.45">
      <c r="B3" s="18" t="s">
        <v>39</v>
      </c>
      <c r="C3" s="175">
        <v>1742.4</v>
      </c>
      <c r="D3" s="20">
        <f>C3/PREÇOS!$H$6</f>
        <v>9.1034482758620694</v>
      </c>
      <c r="E3" s="21">
        <f>ROUND(D3*(1+PARÂMETROS!$D$8),2)</f>
        <v>16.39</v>
      </c>
      <c r="F3" s="5"/>
      <c r="G3" s="19" t="s">
        <v>34</v>
      </c>
      <c r="H3" s="18">
        <v>44</v>
      </c>
    </row>
    <row r="4" spans="1:8" x14ac:dyDescent="0.45">
      <c r="B4" s="18" t="s">
        <v>40</v>
      </c>
      <c r="C4" s="175">
        <v>1122</v>
      </c>
      <c r="D4" s="20">
        <f>C4/PREÇOS!$H$6</f>
        <v>5.8620689655172411</v>
      </c>
      <c r="E4" s="21">
        <f>ROUND(D4*(1+PARÂMETROS!$D$8),2)</f>
        <v>10.55</v>
      </c>
      <c r="F4" s="5"/>
      <c r="G4" s="19" t="s">
        <v>36</v>
      </c>
      <c r="H4" s="18">
        <v>5</v>
      </c>
    </row>
    <row r="5" spans="1:8" x14ac:dyDescent="0.45">
      <c r="B5" s="19" t="s">
        <v>76</v>
      </c>
      <c r="C5" s="22">
        <f>SUM(C3:C4)</f>
        <v>2864.4</v>
      </c>
      <c r="D5" s="22">
        <f>SUM(D3:D4)</f>
        <v>14.96551724137931</v>
      </c>
      <c r="E5" s="22">
        <f>SUM(E3:E4)</f>
        <v>26.94</v>
      </c>
      <c r="F5" s="5"/>
      <c r="G5" s="19" t="s">
        <v>35</v>
      </c>
      <c r="H5" s="18">
        <v>8.8000000000000007</v>
      </c>
    </row>
    <row r="6" spans="1:8" x14ac:dyDescent="0.45">
      <c r="F6" s="5"/>
      <c r="G6" s="19" t="s">
        <v>37</v>
      </c>
      <c r="H6" s="18">
        <v>191.4</v>
      </c>
    </row>
    <row r="7" spans="1:8" x14ac:dyDescent="0.45">
      <c r="B7" s="19" t="s">
        <v>100</v>
      </c>
      <c r="C7" s="19" t="s">
        <v>6</v>
      </c>
      <c r="D7" s="25" t="s">
        <v>5</v>
      </c>
      <c r="F7" s="5"/>
      <c r="G7" s="109" t="s">
        <v>179</v>
      </c>
      <c r="H7" s="171">
        <v>4.3499999999999996</v>
      </c>
    </row>
    <row r="8" spans="1:8" x14ac:dyDescent="0.45">
      <c r="B8" s="18" t="s">
        <v>94</v>
      </c>
      <c r="C8" s="18" t="s">
        <v>48</v>
      </c>
      <c r="D8" s="175">
        <v>0.66</v>
      </c>
      <c r="F8" s="5"/>
    </row>
    <row r="9" spans="1:8" x14ac:dyDescent="0.45">
      <c r="B9" s="18" t="s">
        <v>95</v>
      </c>
      <c r="C9" s="18" t="s">
        <v>48</v>
      </c>
      <c r="D9" s="175">
        <v>0.51</v>
      </c>
      <c r="F9" s="5"/>
      <c r="G9" s="19" t="s">
        <v>4</v>
      </c>
      <c r="H9" s="19" t="s">
        <v>33</v>
      </c>
    </row>
    <row r="10" spans="1:8" x14ac:dyDescent="0.45">
      <c r="B10" s="18" t="s">
        <v>96</v>
      </c>
      <c r="C10" s="18" t="s">
        <v>48</v>
      </c>
      <c r="D10" s="175">
        <v>0.36</v>
      </c>
      <c r="F10" s="5"/>
      <c r="G10" s="24" t="s">
        <v>54</v>
      </c>
      <c r="H10" s="176">
        <v>116.61</v>
      </c>
    </row>
    <row r="11" spans="1:8" x14ac:dyDescent="0.45">
      <c r="B11" s="18" t="s">
        <v>110</v>
      </c>
      <c r="C11" s="18" t="s">
        <v>48</v>
      </c>
      <c r="D11" s="175">
        <v>0.7</v>
      </c>
      <c r="F11" s="5"/>
      <c r="G11" s="24" t="s">
        <v>55</v>
      </c>
      <c r="H11" s="176">
        <v>98.79</v>
      </c>
    </row>
    <row r="12" spans="1:8" x14ac:dyDescent="0.45">
      <c r="B12" s="18" t="s">
        <v>111</v>
      </c>
      <c r="C12" s="18" t="s">
        <v>103</v>
      </c>
      <c r="D12" s="175">
        <v>0.28999999999999998</v>
      </c>
      <c r="F12" s="5"/>
      <c r="G12" s="24" t="s">
        <v>183</v>
      </c>
      <c r="H12" s="176">
        <v>113.97</v>
      </c>
    </row>
    <row r="13" spans="1:8" x14ac:dyDescent="0.45">
      <c r="B13" s="18" t="s">
        <v>112</v>
      </c>
      <c r="C13" s="18" t="s">
        <v>103</v>
      </c>
      <c r="D13" s="175">
        <v>0.38</v>
      </c>
      <c r="G13" s="24" t="s">
        <v>182</v>
      </c>
      <c r="H13" s="176">
        <v>96.15</v>
      </c>
    </row>
    <row r="14" spans="1:8" x14ac:dyDescent="0.45">
      <c r="B14" s="18" t="s">
        <v>98</v>
      </c>
      <c r="C14" s="18" t="s">
        <v>102</v>
      </c>
      <c r="D14" s="175">
        <v>69</v>
      </c>
      <c r="F14" s="5"/>
    </row>
    <row r="15" spans="1:8" x14ac:dyDescent="0.45">
      <c r="B15" s="74" t="s">
        <v>137</v>
      </c>
      <c r="C15" s="74" t="s">
        <v>102</v>
      </c>
      <c r="D15" s="175">
        <v>69</v>
      </c>
      <c r="E15" s="73"/>
      <c r="F15" s="5"/>
    </row>
    <row r="16" spans="1:8" x14ac:dyDescent="0.45">
      <c r="B16" s="18" t="s">
        <v>97</v>
      </c>
      <c r="C16" s="18" t="s">
        <v>102</v>
      </c>
      <c r="D16" s="175">
        <v>40</v>
      </c>
      <c r="F16" s="5"/>
    </row>
    <row r="17" spans="2:6" x14ac:dyDescent="0.45">
      <c r="B17" s="18" t="s">
        <v>99</v>
      </c>
      <c r="C17" s="18" t="s">
        <v>102</v>
      </c>
      <c r="D17" s="175">
        <v>40</v>
      </c>
      <c r="F17" s="5"/>
    </row>
    <row r="18" spans="2:6" x14ac:dyDescent="0.45">
      <c r="B18" s="18" t="s">
        <v>119</v>
      </c>
      <c r="C18" s="18" t="s">
        <v>103</v>
      </c>
      <c r="D18" s="175">
        <v>5.99</v>
      </c>
      <c r="F18" s="5"/>
    </row>
    <row r="19" spans="2:6" x14ac:dyDescent="0.45">
      <c r="B19" s="18" t="s">
        <v>120</v>
      </c>
      <c r="C19" s="18" t="s">
        <v>103</v>
      </c>
      <c r="D19" s="175">
        <v>8.18</v>
      </c>
      <c r="F19" s="5"/>
    </row>
    <row r="20" spans="2:6" x14ac:dyDescent="0.45">
      <c r="B20" s="18" t="s">
        <v>114</v>
      </c>
      <c r="C20" s="18" t="s">
        <v>105</v>
      </c>
      <c r="D20" s="175">
        <v>12.44</v>
      </c>
    </row>
    <row r="21" spans="2:6" x14ac:dyDescent="0.45">
      <c r="B21" s="18" t="s">
        <v>8</v>
      </c>
      <c r="C21" s="18" t="s">
        <v>121</v>
      </c>
      <c r="D21" s="175">
        <v>1.22</v>
      </c>
    </row>
    <row r="22" spans="2:6" x14ac:dyDescent="0.45">
      <c r="B22" s="18" t="s">
        <v>10</v>
      </c>
      <c r="C22" s="18" t="s">
        <v>121</v>
      </c>
      <c r="D22" s="175">
        <v>1.46</v>
      </c>
    </row>
    <row r="23" spans="2:6" x14ac:dyDescent="0.45">
      <c r="B23" s="18" t="s">
        <v>11</v>
      </c>
      <c r="C23" s="18" t="s">
        <v>103</v>
      </c>
      <c r="D23" s="175">
        <v>16</v>
      </c>
    </row>
    <row r="24" spans="2:6" x14ac:dyDescent="0.45">
      <c r="B24" s="18" t="s">
        <v>117</v>
      </c>
      <c r="C24" s="18" t="s">
        <v>118</v>
      </c>
      <c r="D24" s="175">
        <v>6.5</v>
      </c>
    </row>
    <row r="25" spans="2:6" x14ac:dyDescent="0.45">
      <c r="B25" s="18" t="s">
        <v>122</v>
      </c>
      <c r="C25" s="18" t="s">
        <v>103</v>
      </c>
      <c r="D25" s="175">
        <v>5.5</v>
      </c>
    </row>
    <row r="26" spans="2:6" x14ac:dyDescent="0.45">
      <c r="B26" s="74" t="s">
        <v>140</v>
      </c>
      <c r="C26" s="74" t="s">
        <v>103</v>
      </c>
      <c r="D26" s="175">
        <v>9.5</v>
      </c>
    </row>
    <row r="27" spans="2:6" x14ac:dyDescent="0.45">
      <c r="B27" s="74" t="s">
        <v>141</v>
      </c>
      <c r="C27" s="74" t="s">
        <v>102</v>
      </c>
      <c r="D27" s="175">
        <v>2600</v>
      </c>
    </row>
    <row r="28" spans="2:6" x14ac:dyDescent="0.45">
      <c r="B28" s="74" t="s">
        <v>142</v>
      </c>
      <c r="C28" s="74" t="s">
        <v>48</v>
      </c>
      <c r="D28" s="175">
        <v>1.25</v>
      </c>
    </row>
    <row r="29" spans="2:6" x14ac:dyDescent="0.45">
      <c r="B29" s="74" t="s">
        <v>143</v>
      </c>
      <c r="C29" s="74" t="s">
        <v>126</v>
      </c>
      <c r="D29" s="175">
        <v>19.54</v>
      </c>
    </row>
    <row r="31" spans="2:6" x14ac:dyDescent="0.45">
      <c r="B31" s="19" t="s">
        <v>101</v>
      </c>
      <c r="C31" s="19" t="s">
        <v>6</v>
      </c>
      <c r="D31" s="19" t="s">
        <v>5</v>
      </c>
    </row>
    <row r="32" spans="2:6" x14ac:dyDescent="0.45">
      <c r="B32" s="26" t="s">
        <v>70</v>
      </c>
      <c r="C32" s="18" t="s">
        <v>104</v>
      </c>
      <c r="D32" s="174">
        <v>35000</v>
      </c>
    </row>
    <row r="33" spans="2:4" x14ac:dyDescent="0.45">
      <c r="B33" s="26" t="s">
        <v>71</v>
      </c>
      <c r="C33" s="18" t="s">
        <v>104</v>
      </c>
      <c r="D33" s="174">
        <v>10000</v>
      </c>
    </row>
    <row r="34" spans="2:4" x14ac:dyDescent="0.45">
      <c r="B34" s="26" t="s">
        <v>72</v>
      </c>
      <c r="C34" s="18" t="s">
        <v>104</v>
      </c>
      <c r="D34" s="174">
        <v>833.5</v>
      </c>
    </row>
    <row r="35" spans="2:4" x14ac:dyDescent="0.45">
      <c r="B35" s="27" t="s">
        <v>78</v>
      </c>
      <c r="C35" s="18" t="s">
        <v>104</v>
      </c>
      <c r="D35" s="172">
        <v>4800</v>
      </c>
    </row>
    <row r="36" spans="2:4" x14ac:dyDescent="0.45">
      <c r="B36" s="27" t="s">
        <v>79</v>
      </c>
      <c r="C36" s="18" t="s">
        <v>104</v>
      </c>
      <c r="D36" s="172">
        <v>200</v>
      </c>
    </row>
  </sheetData>
  <mergeCells count="1">
    <mergeCell ref="B1:H1"/>
  </mergeCells>
  <pageMargins left="0.511811024" right="0.511811024" top="0.78740157499999996" bottom="0.78740157499999996" header="0.31496062000000002" footer="0.31496062000000002"/>
  <pageSetup paperSize="9" scale="72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2"/>
  <sheetViews>
    <sheetView workbookViewId="0">
      <selection activeCell="A5" sqref="A5"/>
    </sheetView>
  </sheetViews>
  <sheetFormatPr defaultColWidth="8.59765625" defaultRowHeight="14.25" x14ac:dyDescent="0.45"/>
  <cols>
    <col min="1" max="1" width="2.1328125" style="5" customWidth="1"/>
    <col min="2" max="2" width="22.3984375" style="5" customWidth="1"/>
    <col min="3" max="3" width="8.3984375" style="5" bestFit="1" customWidth="1"/>
    <col min="4" max="4" width="19.59765625" style="5" bestFit="1" customWidth="1"/>
    <col min="5" max="5" width="9.86328125" style="5" bestFit="1" customWidth="1"/>
    <col min="6" max="6" width="9.59765625" style="5" bestFit="1" customWidth="1"/>
    <col min="7" max="7" width="12.59765625" style="38" customWidth="1"/>
    <col min="8" max="8" width="12.265625" style="38" bestFit="1" customWidth="1"/>
    <col min="9" max="9" width="3.59765625" style="5" customWidth="1"/>
    <col min="10" max="10" width="19.3984375" style="5" customWidth="1"/>
    <col min="11" max="11" width="8.59765625" style="5" bestFit="1" customWidth="1"/>
    <col min="12" max="12" width="35.73046875" style="5" bestFit="1" customWidth="1"/>
    <col min="13" max="13" width="11.265625" style="5" bestFit="1" customWidth="1"/>
    <col min="14" max="14" width="9.59765625" style="5" bestFit="1" customWidth="1"/>
    <col min="15" max="15" width="12.1328125" style="5" bestFit="1" customWidth="1"/>
    <col min="16" max="16" width="12.265625" style="5" bestFit="1" customWidth="1"/>
    <col min="17" max="16384" width="8.59765625" style="5"/>
  </cols>
  <sheetData>
    <row r="1" spans="1:16" ht="46.5" customHeight="1" x14ac:dyDescent="0.45">
      <c r="A1" s="71"/>
      <c r="B1" s="220" t="s">
        <v>109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2" spans="1:16" ht="21" x14ac:dyDescent="0.45">
      <c r="B2" s="219" t="s">
        <v>83</v>
      </c>
      <c r="C2" s="219"/>
      <c r="D2" s="219"/>
      <c r="E2" s="219"/>
      <c r="F2" s="219"/>
      <c r="G2" s="219"/>
      <c r="H2" s="219"/>
      <c r="J2" s="219" t="s">
        <v>84</v>
      </c>
      <c r="K2" s="219"/>
      <c r="L2" s="219"/>
      <c r="M2" s="219"/>
      <c r="N2" s="219"/>
      <c r="O2" s="219"/>
      <c r="P2" s="219"/>
    </row>
    <row r="3" spans="1:16" s="75" customFormat="1" ht="28.5" x14ac:dyDescent="0.45">
      <c r="B3" s="39" t="s">
        <v>106</v>
      </c>
      <c r="C3" s="39" t="s">
        <v>6</v>
      </c>
      <c r="D3" s="39" t="s">
        <v>107</v>
      </c>
      <c r="E3" s="39" t="s">
        <v>6</v>
      </c>
      <c r="F3" s="39" t="s">
        <v>108</v>
      </c>
      <c r="G3" s="76" t="s">
        <v>5</v>
      </c>
      <c r="H3" s="76" t="s">
        <v>9</v>
      </c>
      <c r="J3" s="39" t="s">
        <v>106</v>
      </c>
      <c r="K3" s="39" t="s">
        <v>6</v>
      </c>
      <c r="L3" s="39" t="s">
        <v>107</v>
      </c>
      <c r="M3" s="39" t="s">
        <v>6</v>
      </c>
      <c r="N3" s="39" t="s">
        <v>108</v>
      </c>
      <c r="O3" s="76" t="s">
        <v>5</v>
      </c>
      <c r="P3" s="76" t="s">
        <v>9</v>
      </c>
    </row>
    <row r="4" spans="1:16" x14ac:dyDescent="0.45">
      <c r="B4" s="218" t="s">
        <v>123</v>
      </c>
      <c r="C4" s="221" t="s">
        <v>44</v>
      </c>
      <c r="D4" s="36" t="str">
        <f>PREÇOS!B8</f>
        <v>Tijolo 8 furos</v>
      </c>
      <c r="E4" s="36" t="str">
        <f>PREÇOS!C8</f>
        <v>un</v>
      </c>
      <c r="F4" s="177">
        <f>1187/89.98</f>
        <v>13.19182040453434</v>
      </c>
      <c r="G4" s="41">
        <f>PREÇOS!D8</f>
        <v>0.66</v>
      </c>
      <c r="H4" s="41">
        <f>G4*F4</f>
        <v>8.7066014669926641</v>
      </c>
      <c r="J4" s="215" t="s">
        <v>124</v>
      </c>
      <c r="K4" s="215" t="s">
        <v>102</v>
      </c>
      <c r="L4" s="36" t="str">
        <f>PREÇOS!B12</f>
        <v>Cimento CP II (50 kg)</v>
      </c>
      <c r="M4" s="36" t="str">
        <f>PREÇOS!C12</f>
        <v>kg</v>
      </c>
      <c r="N4" s="177">
        <v>162</v>
      </c>
      <c r="O4" s="44">
        <f>PREÇOS!D12</f>
        <v>0.28999999999999998</v>
      </c>
      <c r="P4" s="41">
        <f t="shared" ref="P4:P6" si="0">O4*N4</f>
        <v>46.98</v>
      </c>
    </row>
    <row r="5" spans="1:16" x14ac:dyDescent="0.45">
      <c r="B5" s="218"/>
      <c r="C5" s="221"/>
      <c r="D5" s="36" t="str">
        <f>PREÇOS!B9</f>
        <v>Tijolo 6 furos</v>
      </c>
      <c r="E5" s="36" t="str">
        <f>PREÇOS!C9</f>
        <v>un</v>
      </c>
      <c r="F5" s="177">
        <f>149/89.98</f>
        <v>1.6559235385641253</v>
      </c>
      <c r="G5" s="41">
        <f>PREÇOS!D9</f>
        <v>0.51</v>
      </c>
      <c r="H5" s="41">
        <f t="shared" ref="H5:H6" si="1">G5*F5</f>
        <v>0.84452100466770397</v>
      </c>
      <c r="J5" s="216"/>
      <c r="K5" s="216"/>
      <c r="L5" s="36" t="str">
        <f>PREÇOS!B16</f>
        <v>Areia Média Lavada</v>
      </c>
      <c r="M5" s="36" t="str">
        <f>PREÇOS!C16</f>
        <v>m³</v>
      </c>
      <c r="N5" s="177">
        <v>1.216</v>
      </c>
      <c r="O5" s="44">
        <f>PREÇOS!D16</f>
        <v>40</v>
      </c>
      <c r="P5" s="41">
        <f t="shared" si="0"/>
        <v>48.64</v>
      </c>
    </row>
    <row r="6" spans="1:16" x14ac:dyDescent="0.45">
      <c r="B6" s="218"/>
      <c r="C6" s="221"/>
      <c r="D6" s="36" t="str">
        <f>PREÇOS!B10</f>
        <v>Tijolo 4 furos</v>
      </c>
      <c r="E6" s="36" t="str">
        <f>PREÇOS!C10</f>
        <v>un</v>
      </c>
      <c r="F6" s="177">
        <f>51/89.98</f>
        <v>0.56679262058235158</v>
      </c>
      <c r="G6" s="41">
        <f>PREÇOS!D10</f>
        <v>0.36</v>
      </c>
      <c r="H6" s="41">
        <f t="shared" si="1"/>
        <v>0.20404534340964656</v>
      </c>
      <c r="J6" s="217"/>
      <c r="K6" s="217"/>
      <c r="L6" s="44" t="str">
        <f>PREÇOS!B24</f>
        <v>Super Cal</v>
      </c>
      <c r="M6" s="44" t="str">
        <f>PREÇOS!C24</f>
        <v>Saco 15 kg</v>
      </c>
      <c r="N6" s="177">
        <f>81/15</f>
        <v>5.4</v>
      </c>
      <c r="O6" s="44">
        <f>PREÇOS!D24</f>
        <v>6.5</v>
      </c>
      <c r="P6" s="41">
        <f t="shared" si="0"/>
        <v>35.1</v>
      </c>
    </row>
    <row r="7" spans="1:16" x14ac:dyDescent="0.45">
      <c r="B7" s="211" t="s">
        <v>17</v>
      </c>
      <c r="C7" s="211"/>
      <c r="D7" s="211"/>
      <c r="E7" s="211"/>
      <c r="F7" s="211"/>
      <c r="G7" s="211"/>
      <c r="H7" s="42">
        <f>SUM(H4:H6)</f>
        <v>9.7551678150700152</v>
      </c>
      <c r="J7" s="211" t="s">
        <v>17</v>
      </c>
      <c r="K7" s="211"/>
      <c r="L7" s="211"/>
      <c r="M7" s="211"/>
      <c r="N7" s="211"/>
      <c r="O7" s="211"/>
      <c r="P7" s="42">
        <f>SUM(P4:P6)</f>
        <v>130.72</v>
      </c>
    </row>
    <row r="8" spans="1:16" x14ac:dyDescent="0.45">
      <c r="B8" s="218" t="s">
        <v>191</v>
      </c>
      <c r="C8" s="215" t="s">
        <v>102</v>
      </c>
      <c r="D8" s="36" t="str">
        <f>PREÇOS!B12</f>
        <v>Cimento CP II (50 kg)</v>
      </c>
      <c r="E8" s="36" t="str">
        <f>PREÇOS!C12</f>
        <v>kg</v>
      </c>
      <c r="F8" s="177">
        <v>202</v>
      </c>
      <c r="G8" s="41">
        <f>PREÇOS!D12</f>
        <v>0.28999999999999998</v>
      </c>
      <c r="H8" s="41">
        <f t="shared" ref="H8:H10" si="2">G8*F8</f>
        <v>58.58</v>
      </c>
      <c r="J8" s="212" t="s">
        <v>125</v>
      </c>
      <c r="K8" s="215" t="s">
        <v>126</v>
      </c>
      <c r="L8" s="36" t="str">
        <f>J12</f>
        <v>Concreto Fck 20 MPa preparado in loco</v>
      </c>
      <c r="M8" s="36" t="str">
        <f>K12</f>
        <v>m³</v>
      </c>
      <c r="N8" s="177">
        <v>1.06E-2</v>
      </c>
      <c r="O8" s="44">
        <f>P15</f>
        <v>174.49</v>
      </c>
      <c r="P8" s="41">
        <f t="shared" ref="P8:P10" si="3">O8*N8</f>
        <v>1.8495940000000002</v>
      </c>
    </row>
    <row r="9" spans="1:16" x14ac:dyDescent="0.45">
      <c r="B9" s="218"/>
      <c r="C9" s="216"/>
      <c r="D9" s="36" t="str">
        <f>PREÇOS!B24</f>
        <v>Super Cal</v>
      </c>
      <c r="E9" s="36" t="str">
        <f>PREÇOS!C24</f>
        <v>Saco 15 kg</v>
      </c>
      <c r="F9" s="177">
        <v>8.1</v>
      </c>
      <c r="G9" s="41">
        <f>PREÇOS!D24</f>
        <v>6.5</v>
      </c>
      <c r="H9" s="41">
        <f t="shared" si="2"/>
        <v>52.65</v>
      </c>
      <c r="J9" s="213"/>
      <c r="K9" s="216"/>
      <c r="L9" s="36" t="str">
        <f>PREÇOS!B18</f>
        <v>Aço CA-60/CA-50/CA-25</v>
      </c>
      <c r="M9" s="36" t="str">
        <f>PREÇOS!C18</f>
        <v>kg</v>
      </c>
      <c r="N9" s="177">
        <v>1.216</v>
      </c>
      <c r="O9" s="44">
        <f>PREÇOS!D18</f>
        <v>5.99</v>
      </c>
      <c r="P9" s="41">
        <f t="shared" si="3"/>
        <v>7.2838399999999996</v>
      </c>
    </row>
    <row r="10" spans="1:16" x14ac:dyDescent="0.45">
      <c r="B10" s="218"/>
      <c r="C10" s="217"/>
      <c r="D10" s="36" t="str">
        <f>PREÇOS!B17</f>
        <v>Areia Fina Lavada</v>
      </c>
      <c r="E10" s="36" t="str">
        <f>PREÇOS!C17</f>
        <v>m³</v>
      </c>
      <c r="F10" s="177">
        <v>1.216</v>
      </c>
      <c r="G10" s="41">
        <f>PREÇOS!D17</f>
        <v>40</v>
      </c>
      <c r="H10" s="41">
        <f t="shared" si="2"/>
        <v>48.64</v>
      </c>
      <c r="J10" s="214"/>
      <c r="K10" s="217"/>
      <c r="L10" s="36" t="str">
        <f>J16</f>
        <v>Forma de madeira 1 Utilização</v>
      </c>
      <c r="M10" s="36" t="str">
        <f>K16</f>
        <v>m²</v>
      </c>
      <c r="N10" s="177">
        <v>0.2737</v>
      </c>
      <c r="O10" s="44">
        <f>P18</f>
        <v>50.705219999999997</v>
      </c>
      <c r="P10" s="41">
        <f t="shared" si="3"/>
        <v>13.878018714</v>
      </c>
    </row>
    <row r="11" spans="1:16" x14ac:dyDescent="0.45">
      <c r="B11" s="211" t="s">
        <v>17</v>
      </c>
      <c r="C11" s="211"/>
      <c r="D11" s="211"/>
      <c r="E11" s="211"/>
      <c r="F11" s="211"/>
      <c r="G11" s="211"/>
      <c r="H11" s="42">
        <f>SUM(H8:H10)</f>
        <v>159.87</v>
      </c>
      <c r="J11" s="211" t="s">
        <v>17</v>
      </c>
      <c r="K11" s="211"/>
      <c r="L11" s="211"/>
      <c r="M11" s="211"/>
      <c r="N11" s="211"/>
      <c r="O11" s="211"/>
      <c r="P11" s="42">
        <f>SUM(P8:P10)</f>
        <v>23.011452714000001</v>
      </c>
    </row>
    <row r="12" spans="1:16" x14ac:dyDescent="0.45">
      <c r="B12" s="218" t="s">
        <v>7</v>
      </c>
      <c r="C12" s="215" t="s">
        <v>102</v>
      </c>
      <c r="D12" s="36" t="str">
        <f>PREÇOS!B13</f>
        <v>Cimento CP V (40 kg)</v>
      </c>
      <c r="E12" s="36" t="str">
        <f>PREÇOS!C13</f>
        <v>kg</v>
      </c>
      <c r="F12" s="177">
        <v>350</v>
      </c>
      <c r="G12" s="41">
        <f>PREÇOS!D13</f>
        <v>0.38</v>
      </c>
      <c r="H12" s="41">
        <f t="shared" ref="H12:H14" si="4">G12*F12</f>
        <v>133</v>
      </c>
      <c r="J12" s="212" t="s">
        <v>138</v>
      </c>
      <c r="K12" s="215" t="s">
        <v>102</v>
      </c>
      <c r="L12" s="36" t="str">
        <f>PREÇOS!B12</f>
        <v>Cimento CP II (50 kg)</v>
      </c>
      <c r="M12" s="36" t="str">
        <f>PREÇOS!C12</f>
        <v>kg</v>
      </c>
      <c r="N12" s="177">
        <v>352</v>
      </c>
      <c r="O12" s="44">
        <f>PREÇOS!D12</f>
        <v>0.28999999999999998</v>
      </c>
      <c r="P12" s="41">
        <f t="shared" ref="P12:P14" si="5">O12*N12</f>
        <v>102.08</v>
      </c>
    </row>
    <row r="13" spans="1:16" x14ac:dyDescent="0.45">
      <c r="B13" s="218"/>
      <c r="C13" s="216"/>
      <c r="D13" s="36" t="str">
        <f>PREÇOS!B14</f>
        <v>Brita 0</v>
      </c>
      <c r="E13" s="36" t="str">
        <f>PREÇOS!C14</f>
        <v>m³</v>
      </c>
      <c r="F13" s="177">
        <v>0.7</v>
      </c>
      <c r="G13" s="41">
        <f>PREÇOS!D14</f>
        <v>69</v>
      </c>
      <c r="H13" s="41">
        <f t="shared" si="4"/>
        <v>48.3</v>
      </c>
      <c r="J13" s="213"/>
      <c r="K13" s="216"/>
      <c r="L13" s="36" t="str">
        <f>PREÇOS!B16</f>
        <v>Areia Média Lavada</v>
      </c>
      <c r="M13" s="36" t="str">
        <f>PREÇOS!C16</f>
        <v>m³</v>
      </c>
      <c r="N13" s="177">
        <v>0.62</v>
      </c>
      <c r="O13" s="44">
        <f>PREÇOS!D16</f>
        <v>40</v>
      </c>
      <c r="P13" s="41">
        <f t="shared" si="5"/>
        <v>24.8</v>
      </c>
    </row>
    <row r="14" spans="1:16" x14ac:dyDescent="0.45">
      <c r="B14" s="218"/>
      <c r="C14" s="217"/>
      <c r="D14" s="36" t="str">
        <f>PREÇOS!B16</f>
        <v>Areia Média Lavada</v>
      </c>
      <c r="E14" s="36" t="str">
        <f>PREÇOS!C16</f>
        <v>m³</v>
      </c>
      <c r="F14" s="177">
        <v>0.7</v>
      </c>
      <c r="G14" s="41">
        <f>PREÇOS!D16</f>
        <v>40</v>
      </c>
      <c r="H14" s="41">
        <f t="shared" si="4"/>
        <v>28</v>
      </c>
      <c r="J14" s="214"/>
      <c r="K14" s="217"/>
      <c r="L14" s="44" t="str">
        <f>PREÇOS!B15</f>
        <v>Brita 1</v>
      </c>
      <c r="M14" s="36" t="str">
        <f>PREÇOS!C15</f>
        <v>m³</v>
      </c>
      <c r="N14" s="177">
        <v>0.69</v>
      </c>
      <c r="O14" s="44">
        <f>PREÇOS!D15</f>
        <v>69</v>
      </c>
      <c r="P14" s="41">
        <f t="shared" si="5"/>
        <v>47.61</v>
      </c>
    </row>
    <row r="15" spans="1:16" x14ac:dyDescent="0.45">
      <c r="B15" s="211" t="s">
        <v>17</v>
      </c>
      <c r="C15" s="211"/>
      <c r="D15" s="211"/>
      <c r="E15" s="211"/>
      <c r="F15" s="211"/>
      <c r="G15" s="211"/>
      <c r="H15" s="42">
        <f>SUM(H12:H14)</f>
        <v>209.3</v>
      </c>
      <c r="J15" s="211" t="s">
        <v>17</v>
      </c>
      <c r="K15" s="211"/>
      <c r="L15" s="211"/>
      <c r="M15" s="211"/>
      <c r="N15" s="211"/>
      <c r="O15" s="211"/>
      <c r="P15" s="42">
        <f>SUM(P12:P14)</f>
        <v>174.49</v>
      </c>
    </row>
    <row r="16" spans="1:16" x14ac:dyDescent="0.45">
      <c r="B16" s="212" t="s">
        <v>12</v>
      </c>
      <c r="C16" s="215" t="s">
        <v>102</v>
      </c>
      <c r="D16" s="36" t="str">
        <f>PREÇOS!B12</f>
        <v>Cimento CP II (50 kg)</v>
      </c>
      <c r="E16" s="36" t="str">
        <f>PREÇOS!C18</f>
        <v>kg</v>
      </c>
      <c r="F16" s="177">
        <v>365</v>
      </c>
      <c r="G16" s="41">
        <f>PREÇOS!D12</f>
        <v>0.28999999999999998</v>
      </c>
      <c r="H16" s="41">
        <f t="shared" ref="H16:H18" si="6">G16*F16</f>
        <v>105.85</v>
      </c>
      <c r="J16" s="212" t="s">
        <v>139</v>
      </c>
      <c r="K16" s="215" t="s">
        <v>44</v>
      </c>
      <c r="L16" s="36" t="str">
        <f>PREÇOS!B27</f>
        <v>Madeira de Lei</v>
      </c>
      <c r="M16" s="36" t="str">
        <f>PREÇOS!C27</f>
        <v>m³</v>
      </c>
      <c r="N16" s="177">
        <v>3.7999999999999999E-2</v>
      </c>
      <c r="O16" s="44">
        <f>PREÇOS!D27</f>
        <v>2600</v>
      </c>
      <c r="P16" s="41">
        <f t="shared" ref="P16:P17" si="7">O16*N16</f>
        <v>98.8</v>
      </c>
    </row>
    <row r="17" spans="2:16" x14ac:dyDescent="0.45">
      <c r="B17" s="213"/>
      <c r="C17" s="216"/>
      <c r="D17" s="36" t="str">
        <f>PREÇOS!B17</f>
        <v>Areia Fina Lavada</v>
      </c>
      <c r="E17" s="36" t="str">
        <f>PREÇOS!C19</f>
        <v>kg</v>
      </c>
      <c r="F17" s="177">
        <v>1.216</v>
      </c>
      <c r="G17" s="41">
        <f>PREÇOS!D17</f>
        <v>40</v>
      </c>
      <c r="H17" s="41">
        <f t="shared" si="6"/>
        <v>48.64</v>
      </c>
      <c r="J17" s="213"/>
      <c r="K17" s="216"/>
      <c r="L17" s="36" t="str">
        <f>PREÇOS!B26</f>
        <v>Prego</v>
      </c>
      <c r="M17" s="36" t="str">
        <f>PREÇOS!C26</f>
        <v>kg</v>
      </c>
      <c r="N17" s="177">
        <v>0.05</v>
      </c>
      <c r="O17" s="44">
        <f>PREÇOS!D20</f>
        <v>12.44</v>
      </c>
      <c r="P17" s="41">
        <f t="shared" si="7"/>
        <v>0.622</v>
      </c>
    </row>
    <row r="18" spans="2:16" x14ac:dyDescent="0.45">
      <c r="B18" s="214"/>
      <c r="C18" s="217"/>
      <c r="D18" s="36" t="str">
        <f>PREÇOS!B25</f>
        <v>Expansor</v>
      </c>
      <c r="E18" s="36" t="str">
        <f>PREÇOS!C25</f>
        <v>kg</v>
      </c>
      <c r="F18" s="177">
        <f>F16*0.01</f>
        <v>3.65</v>
      </c>
      <c r="G18" s="41">
        <f>PREÇOS!D25</f>
        <v>5.5</v>
      </c>
      <c r="H18" s="41">
        <f t="shared" si="6"/>
        <v>20.074999999999999</v>
      </c>
      <c r="J18" s="211" t="s">
        <v>186</v>
      </c>
      <c r="K18" s="211"/>
      <c r="L18" s="211"/>
      <c r="M18" s="211"/>
      <c r="N18" s="211"/>
      <c r="O18" s="211"/>
      <c r="P18" s="42">
        <f>SUM(P16:P17)*0.51</f>
        <v>50.705219999999997</v>
      </c>
    </row>
    <row r="19" spans="2:16" ht="15" customHeight="1" x14ac:dyDescent="0.45">
      <c r="B19" s="211" t="s">
        <v>17</v>
      </c>
      <c r="C19" s="211"/>
      <c r="D19" s="211"/>
      <c r="E19" s="211"/>
      <c r="F19" s="211"/>
      <c r="G19" s="211"/>
      <c r="H19" s="42">
        <f>SUM(H16:H18)</f>
        <v>174.565</v>
      </c>
      <c r="J19" s="212" t="s">
        <v>77</v>
      </c>
      <c r="K19" s="215" t="s">
        <v>126</v>
      </c>
      <c r="L19" s="36" t="str">
        <f>PREÇOS!B28</f>
        <v>Bloco Canaleta 9 x 19 x 19</v>
      </c>
      <c r="M19" s="36" t="str">
        <f>PREÇOS!C28</f>
        <v>un</v>
      </c>
      <c r="N19" s="177">
        <v>5</v>
      </c>
      <c r="O19" s="44">
        <f>PREÇOS!D28</f>
        <v>1.25</v>
      </c>
      <c r="P19" s="41">
        <f t="shared" ref="P19:P21" si="8">O19*N19</f>
        <v>6.25</v>
      </c>
    </row>
    <row r="20" spans="2:16" x14ac:dyDescent="0.45">
      <c r="J20" s="213"/>
      <c r="K20" s="216"/>
      <c r="L20" s="36" t="str">
        <f>PREÇOS!B18</f>
        <v>Aço CA-60/CA-50/CA-25</v>
      </c>
      <c r="M20" s="36" t="str">
        <f>PREÇOS!C18</f>
        <v>kg</v>
      </c>
      <c r="N20" s="177">
        <v>0.55000000000000004</v>
      </c>
      <c r="O20" s="44">
        <f>PREÇOS!D18</f>
        <v>5.99</v>
      </c>
      <c r="P20" s="41">
        <f t="shared" si="8"/>
        <v>3.2945000000000002</v>
      </c>
    </row>
    <row r="21" spans="2:16" x14ac:dyDescent="0.45">
      <c r="J21" s="214"/>
      <c r="K21" s="217"/>
      <c r="L21" s="36" t="str">
        <f>J12</f>
        <v>Concreto Fck 20 MPa preparado in loco</v>
      </c>
      <c r="M21" s="36" t="str">
        <f>K12</f>
        <v>m³</v>
      </c>
      <c r="N21" s="177">
        <v>6.0000000000000001E-3</v>
      </c>
      <c r="O21" s="44">
        <f>P15</f>
        <v>174.49</v>
      </c>
      <c r="P21" s="41">
        <f t="shared" si="8"/>
        <v>1.04694</v>
      </c>
    </row>
    <row r="22" spans="2:16" x14ac:dyDescent="0.45">
      <c r="J22" s="211" t="s">
        <v>17</v>
      </c>
      <c r="K22" s="211"/>
      <c r="L22" s="211"/>
      <c r="M22" s="211"/>
      <c r="N22" s="211"/>
      <c r="O22" s="211"/>
      <c r="P22" s="42">
        <f>SUM(P19:P21)</f>
        <v>10.591439999999999</v>
      </c>
    </row>
  </sheetData>
  <mergeCells count="30">
    <mergeCell ref="J22:O22"/>
    <mergeCell ref="K12:K14"/>
    <mergeCell ref="J15:O15"/>
    <mergeCell ref="J16:J17"/>
    <mergeCell ref="K16:K17"/>
    <mergeCell ref="J18:O18"/>
    <mergeCell ref="J2:P2"/>
    <mergeCell ref="B1:P1"/>
    <mergeCell ref="B7:G7"/>
    <mergeCell ref="B8:B10"/>
    <mergeCell ref="C8:C10"/>
    <mergeCell ref="K4:K6"/>
    <mergeCell ref="B2:H2"/>
    <mergeCell ref="B4:B6"/>
    <mergeCell ref="C4:C6"/>
    <mergeCell ref="B19:G19"/>
    <mergeCell ref="B16:B18"/>
    <mergeCell ref="C16:C18"/>
    <mergeCell ref="J4:J6"/>
    <mergeCell ref="J7:O7"/>
    <mergeCell ref="B11:G11"/>
    <mergeCell ref="B12:B14"/>
    <mergeCell ref="C12:C14"/>
    <mergeCell ref="B15:G15"/>
    <mergeCell ref="J8:J10"/>
    <mergeCell ref="K8:K10"/>
    <mergeCell ref="J11:O11"/>
    <mergeCell ref="J12:J14"/>
    <mergeCell ref="J19:J21"/>
    <mergeCell ref="K19:K21"/>
  </mergeCells>
  <pageMargins left="0.511811024" right="0.511811024" top="0.78740157499999996" bottom="0.78740157499999996" header="0.31496062000000002" footer="0.31496062000000002"/>
  <pageSetup paperSize="9" scale="62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7"/>
  <sheetViews>
    <sheetView workbookViewId="0">
      <selection activeCell="B2" sqref="B2:G2"/>
    </sheetView>
  </sheetViews>
  <sheetFormatPr defaultColWidth="8.59765625" defaultRowHeight="14.25" x14ac:dyDescent="0.45"/>
  <cols>
    <col min="1" max="1" width="11.59765625" style="5" bestFit="1" customWidth="1"/>
    <col min="2" max="2" width="22.86328125" style="5" customWidth="1"/>
    <col min="3" max="3" width="6.73046875" style="5" customWidth="1"/>
    <col min="4" max="4" width="14.59765625" style="5" bestFit="1" customWidth="1"/>
    <col min="5" max="5" width="10.73046875" style="38" customWidth="1"/>
    <col min="6" max="6" width="12.265625" style="5" bestFit="1" customWidth="1"/>
    <col min="7" max="7" width="12.265625" style="5" customWidth="1"/>
    <col min="8" max="8" width="1.59765625" style="5" customWidth="1"/>
    <col min="9" max="9" width="21.86328125" style="5" bestFit="1" customWidth="1"/>
    <col min="10" max="10" width="8.59765625" style="5" bestFit="1" customWidth="1"/>
    <col min="11" max="11" width="11.59765625" style="5" bestFit="1" customWidth="1"/>
    <col min="12" max="14" width="14.59765625" style="5" bestFit="1" customWidth="1"/>
    <col min="15" max="15" width="9.59765625" style="5" bestFit="1" customWidth="1"/>
    <col min="16" max="16384" width="8.59765625" style="5"/>
  </cols>
  <sheetData>
    <row r="1" spans="1:16" ht="25.5" x14ac:dyDescent="0.45">
      <c r="A1" s="71"/>
      <c r="B1" s="224" t="s">
        <v>185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6" s="28" customFormat="1" x14ac:dyDescent="0.45">
      <c r="B2" s="225" t="s">
        <v>134</v>
      </c>
      <c r="C2" s="225"/>
      <c r="D2" s="225"/>
      <c r="E2" s="225"/>
      <c r="F2" s="225"/>
      <c r="G2" s="225"/>
      <c r="H2" s="45"/>
      <c r="I2" s="225" t="s">
        <v>135</v>
      </c>
      <c r="J2" s="225"/>
      <c r="K2" s="225"/>
      <c r="L2" s="225"/>
      <c r="M2" s="225"/>
      <c r="N2" s="225"/>
    </row>
    <row r="3" spans="1:16" s="75" customFormat="1" ht="28.5" x14ac:dyDescent="0.45">
      <c r="B3" s="143" t="s">
        <v>4</v>
      </c>
      <c r="C3" s="143" t="s">
        <v>6</v>
      </c>
      <c r="D3" s="143" t="s">
        <v>49</v>
      </c>
      <c r="E3" s="76" t="s">
        <v>5</v>
      </c>
      <c r="F3" s="76" t="s">
        <v>9</v>
      </c>
      <c r="G3" s="76" t="s">
        <v>181</v>
      </c>
      <c r="I3" s="143" t="s">
        <v>4</v>
      </c>
      <c r="J3" s="143" t="s">
        <v>6</v>
      </c>
      <c r="K3" s="143" t="s">
        <v>49</v>
      </c>
      <c r="L3" s="76" t="s">
        <v>5</v>
      </c>
      <c r="M3" s="76" t="s">
        <v>9</v>
      </c>
      <c r="N3" s="76" t="s">
        <v>181</v>
      </c>
      <c r="O3" s="147"/>
    </row>
    <row r="4" spans="1:16" x14ac:dyDescent="0.45">
      <c r="A4" s="34"/>
      <c r="B4" s="31" t="str">
        <f>COMPOSIÇÕES!B4</f>
        <v>Tijolo Casa Fácil</v>
      </c>
      <c r="C4" s="31" t="str">
        <f>COMPOSIÇÕES!C4:C6</f>
        <v>m²</v>
      </c>
      <c r="D4" s="178">
        <v>96.15</v>
      </c>
      <c r="E4" s="33">
        <f>COMPOSIÇÕES!H7</f>
        <v>9.7551678150700152</v>
      </c>
      <c r="F4" s="33">
        <f>E4*D4</f>
        <v>937.95938541898204</v>
      </c>
      <c r="G4" s="33">
        <f>F4/PREÇOS!$H$13</f>
        <v>9.7551678150700152</v>
      </c>
      <c r="I4" s="31" t="str">
        <f>PREÇOS!B11</f>
        <v>Tijolo furado 9 x 19 x 29</v>
      </c>
      <c r="J4" s="31" t="str">
        <f>PREÇOS!C11</f>
        <v>un</v>
      </c>
      <c r="K4" s="32">
        <f>17*'PAREDES CONVENCIONAL'!D5</f>
        <v>1679.43</v>
      </c>
      <c r="L4" s="33">
        <f>PREÇOS!D11</f>
        <v>0.7</v>
      </c>
      <c r="M4" s="33">
        <f>L4*K4</f>
        <v>1175.6009999999999</v>
      </c>
      <c r="N4" s="33">
        <f>M4/PREÇOS!$H$11</f>
        <v>11.899999999999999</v>
      </c>
      <c r="O4" s="38"/>
    </row>
    <row r="5" spans="1:16" x14ac:dyDescent="0.45">
      <c r="A5" s="34"/>
      <c r="B5" s="31" t="str">
        <f>COMPOSIÇÕES!B8</f>
        <v>Argamassa 202kg/m³</v>
      </c>
      <c r="C5" s="31" t="str">
        <f>COMPOSIÇÕES!C8</f>
        <v>m³</v>
      </c>
      <c r="D5" s="178">
        <v>1.923</v>
      </c>
      <c r="E5" s="33">
        <f>COMPOSIÇÕES!H11</f>
        <v>159.87</v>
      </c>
      <c r="F5" s="33">
        <f t="shared" ref="F5:F12" si="0">E5*D5</f>
        <v>307.43001000000004</v>
      </c>
      <c r="G5" s="33">
        <f>F5/PREÇOS!$H$13</f>
        <v>3.1974</v>
      </c>
      <c r="I5" s="31" t="str">
        <f>COMPOSIÇÕES!J4</f>
        <v>Argamassa 1:1:8</v>
      </c>
      <c r="J5" s="31" t="str">
        <f>COMPOSIÇÕES!K4</f>
        <v>m³</v>
      </c>
      <c r="K5" s="32">
        <f>0.0104*'PAREDES CONVENCIONAL'!D5</f>
        <v>1.0274160000000001</v>
      </c>
      <c r="L5" s="33">
        <f>COMPOSIÇÕES!P7</f>
        <v>130.72</v>
      </c>
      <c r="M5" s="33">
        <f t="shared" ref="M5:M8" si="1">L5*K5</f>
        <v>134.30381952000002</v>
      </c>
      <c r="N5" s="33">
        <f>M5/PREÇOS!$H$11</f>
        <v>1.359488</v>
      </c>
      <c r="O5" s="38"/>
    </row>
    <row r="6" spans="1:16" x14ac:dyDescent="0.45">
      <c r="A6" s="34"/>
      <c r="B6" s="31" t="str">
        <f>COMPOSIÇÕES!B12</f>
        <v>Concreto</v>
      </c>
      <c r="C6" s="31" t="str">
        <f>COMPOSIÇÕES!C12</f>
        <v>m³</v>
      </c>
      <c r="D6" s="178">
        <v>2.2114499999999997</v>
      </c>
      <c r="E6" s="33">
        <f>COMPOSIÇÕES!H15</f>
        <v>209.3</v>
      </c>
      <c r="F6" s="33">
        <f t="shared" si="0"/>
        <v>462.85648499999996</v>
      </c>
      <c r="G6" s="33">
        <f>F6/PREÇOS!$H$13</f>
        <v>4.8138999999999994</v>
      </c>
      <c r="I6" s="31" t="str">
        <f>COMPOSIÇÕES!B8</f>
        <v>Argamassa 202kg/m³</v>
      </c>
      <c r="J6" s="31" t="str">
        <f>COMPOSIÇÕES!C8</f>
        <v>m³</v>
      </c>
      <c r="K6" s="32">
        <f>0.05*'PAREDES CONVENCIONAL'!D5</f>
        <v>4.9395000000000007</v>
      </c>
      <c r="L6" s="33">
        <f>COMPOSIÇÕES!H11</f>
        <v>159.87</v>
      </c>
      <c r="M6" s="33">
        <f t="shared" si="1"/>
        <v>789.67786500000011</v>
      </c>
      <c r="N6" s="33">
        <f>M6/PREÇOS!$H$11</f>
        <v>7.9935000000000009</v>
      </c>
      <c r="O6" s="38"/>
    </row>
    <row r="7" spans="1:16" x14ac:dyDescent="0.45">
      <c r="A7" s="34"/>
      <c r="B7" s="31" t="str">
        <f>PREÇOS!B18</f>
        <v>Aço CA-60/CA-50/CA-25</v>
      </c>
      <c r="C7" s="31" t="str">
        <f>PREÇOS!C18</f>
        <v>kg</v>
      </c>
      <c r="D7" s="178">
        <v>98.1</v>
      </c>
      <c r="E7" s="33">
        <f>PREÇOS!D18</f>
        <v>5.99</v>
      </c>
      <c r="F7" s="33">
        <f t="shared" si="0"/>
        <v>587.61900000000003</v>
      </c>
      <c r="G7" s="33">
        <f>F7/PREÇOS!$H$13</f>
        <v>6.1114820592823715</v>
      </c>
      <c r="I7" s="31" t="s">
        <v>125</v>
      </c>
      <c r="J7" s="31" t="s">
        <v>126</v>
      </c>
      <c r="K7" s="178">
        <v>22.8</v>
      </c>
      <c r="L7" s="79">
        <f>COMPOSIÇÕES!P11</f>
        <v>23.011452714000001</v>
      </c>
      <c r="M7" s="33">
        <f t="shared" si="1"/>
        <v>524.66112187919998</v>
      </c>
      <c r="N7" s="33">
        <f>M7/PREÇOS!$H$11</f>
        <v>5.3108727794230184</v>
      </c>
      <c r="O7" s="38"/>
    </row>
    <row r="8" spans="1:16" x14ac:dyDescent="0.45">
      <c r="A8" s="34"/>
      <c r="B8" s="31" t="str">
        <f>PREÇOS!B19</f>
        <v>Treliça H6</v>
      </c>
      <c r="C8" s="31" t="str">
        <f>PREÇOS!C19</f>
        <v>kg</v>
      </c>
      <c r="D8" s="178">
        <v>16.8</v>
      </c>
      <c r="E8" s="33">
        <f>PREÇOS!D19</f>
        <v>8.18</v>
      </c>
      <c r="F8" s="33">
        <f t="shared" si="0"/>
        <v>137.42400000000001</v>
      </c>
      <c r="G8" s="33">
        <f>F8/PREÇOS!$H$13</f>
        <v>1.4292667706708269</v>
      </c>
      <c r="I8" s="31" t="s">
        <v>77</v>
      </c>
      <c r="J8" s="31" t="s">
        <v>126</v>
      </c>
      <c r="K8" s="178">
        <v>42.86</v>
      </c>
      <c r="L8" s="79">
        <f>COMPOSIÇÕES!P22</f>
        <v>10.591439999999999</v>
      </c>
      <c r="M8" s="33">
        <f t="shared" si="1"/>
        <v>453.94911839999992</v>
      </c>
      <c r="N8" s="33">
        <f>M8/PREÇOS!$H$11</f>
        <v>4.5950917947160637</v>
      </c>
      <c r="O8" s="38"/>
    </row>
    <row r="9" spans="1:16" x14ac:dyDescent="0.45">
      <c r="A9" s="34"/>
      <c r="B9" s="31" t="str">
        <f>PREÇOS!B20</f>
        <v>Delta-mold</v>
      </c>
      <c r="C9" s="31" t="str">
        <f>PREÇOS!C20</f>
        <v>litro</v>
      </c>
      <c r="D9" s="178">
        <f>0.012*D4</f>
        <v>1.1538000000000002</v>
      </c>
      <c r="E9" s="33">
        <f>PREÇOS!D20</f>
        <v>12.44</v>
      </c>
      <c r="F9" s="33">
        <f t="shared" si="0"/>
        <v>14.353272000000002</v>
      </c>
      <c r="G9" s="33">
        <f>F9/PREÇOS!$H$13</f>
        <v>0.14928000000000002</v>
      </c>
      <c r="I9" s="31" t="str">
        <f>PREÇOS!B29</f>
        <v>Tábua de lei 30cm</v>
      </c>
      <c r="J9" s="31" t="str">
        <f>PREÇOS!C29</f>
        <v>m</v>
      </c>
      <c r="K9" s="178">
        <v>20</v>
      </c>
      <c r="L9" s="79">
        <f>PREÇOS!D29</f>
        <v>19.54</v>
      </c>
      <c r="M9" s="33">
        <f>L9*K9/20</f>
        <v>19.54</v>
      </c>
      <c r="N9" s="33">
        <f>M9/PREÇOS!$H$11</f>
        <v>0.1977932989168944</v>
      </c>
      <c r="O9" s="38"/>
      <c r="P9" s="35"/>
    </row>
    <row r="10" spans="1:16" x14ac:dyDescent="0.45">
      <c r="A10" s="34"/>
      <c r="B10" s="31" t="str">
        <f>PREÇOS!B21</f>
        <v>Chumbador PBA</v>
      </c>
      <c r="C10" s="31" t="str">
        <f>PREÇOS!C21</f>
        <v>Peça</v>
      </c>
      <c r="D10" s="178">
        <v>13</v>
      </c>
      <c r="E10" s="33">
        <f>PREÇOS!D21</f>
        <v>1.22</v>
      </c>
      <c r="F10" s="33">
        <f t="shared" si="0"/>
        <v>15.86</v>
      </c>
      <c r="G10" s="33">
        <f>F10/PREÇOS!$H$13</f>
        <v>0.16495059802392095</v>
      </c>
      <c r="I10" s="206" t="s">
        <v>127</v>
      </c>
      <c r="J10" s="206"/>
      <c r="K10" s="206"/>
      <c r="L10" s="206"/>
      <c r="M10" s="30">
        <f>SUM(M4:M9)</f>
        <v>3097.7329247991997</v>
      </c>
      <c r="N10" s="30">
        <f>M10/PREÇOS!$H$11</f>
        <v>31.356745873055974</v>
      </c>
      <c r="O10" s="38"/>
    </row>
    <row r="11" spans="1:16" x14ac:dyDescent="0.45">
      <c r="A11" s="34"/>
      <c r="B11" s="31" t="str">
        <f>PREÇOS!B22</f>
        <v>Apôios</v>
      </c>
      <c r="C11" s="31" t="str">
        <f>PREÇOS!C22</f>
        <v>Peça</v>
      </c>
      <c r="D11" s="178">
        <v>20</v>
      </c>
      <c r="E11" s="33">
        <f>PREÇOS!D22</f>
        <v>1.46</v>
      </c>
      <c r="F11" s="33">
        <f t="shared" si="0"/>
        <v>29.2</v>
      </c>
      <c r="G11" s="33">
        <f>F11/PREÇOS!$H$13</f>
        <v>0.30369214768590741</v>
      </c>
      <c r="I11" s="206" t="s">
        <v>145</v>
      </c>
      <c r="J11" s="206"/>
      <c r="K11" s="206"/>
      <c r="L11" s="206"/>
      <c r="M11" s="30">
        <f>M10*1.15</f>
        <v>3562.3928635190796</v>
      </c>
      <c r="N11" s="30">
        <f>M11/PREÇOS!$H$11</f>
        <v>36.060257754014366</v>
      </c>
      <c r="O11" s="38"/>
    </row>
    <row r="12" spans="1:16" x14ac:dyDescent="0.45">
      <c r="A12" s="34"/>
      <c r="B12" s="31" t="str">
        <f>PREÇOS!B23</f>
        <v>Eletrodos</v>
      </c>
      <c r="C12" s="31" t="str">
        <f>PREÇOS!C23</f>
        <v>kg</v>
      </c>
      <c r="D12" s="178">
        <v>0.3</v>
      </c>
      <c r="E12" s="33">
        <f>PREÇOS!D23</f>
        <v>16</v>
      </c>
      <c r="F12" s="33">
        <f t="shared" si="0"/>
        <v>4.8</v>
      </c>
      <c r="G12" s="33">
        <f>F12/PREÇOS!$H$13</f>
        <v>4.992199687987519E-2</v>
      </c>
      <c r="N12" s="28"/>
      <c r="O12" s="38"/>
    </row>
    <row r="13" spans="1:16" s="28" customFormat="1" ht="15" customHeight="1" x14ac:dyDescent="0.45">
      <c r="A13" s="80"/>
      <c r="B13" s="206" t="s">
        <v>115</v>
      </c>
      <c r="C13" s="206"/>
      <c r="D13" s="206"/>
      <c r="E13" s="206"/>
      <c r="F13" s="30">
        <f>SUM(F4:F12)</f>
        <v>2497.502152418982</v>
      </c>
      <c r="G13" s="30">
        <f>F13/PREÇOS!$H$13</f>
        <v>25.975061387612914</v>
      </c>
      <c r="I13" s="226" t="s">
        <v>192</v>
      </c>
      <c r="J13" s="226"/>
      <c r="K13" s="226"/>
      <c r="L13" s="226"/>
      <c r="M13" s="226"/>
      <c r="N13" s="226"/>
    </row>
    <row r="14" spans="1:16" s="28" customFormat="1" x14ac:dyDescent="0.45">
      <c r="A14" s="34"/>
      <c r="B14" s="206" t="s">
        <v>116</v>
      </c>
      <c r="C14" s="206"/>
      <c r="D14" s="206"/>
      <c r="E14" s="206"/>
      <c r="F14" s="30">
        <f>F13*1.02</f>
        <v>2547.4521954673614</v>
      </c>
      <c r="G14" s="30">
        <f>F14/PREÇOS!$H$13</f>
        <v>26.494562615365172</v>
      </c>
      <c r="I14" s="226"/>
      <c r="J14" s="226"/>
      <c r="K14" s="226"/>
      <c r="L14" s="226"/>
      <c r="M14" s="226"/>
      <c r="N14" s="226"/>
    </row>
    <row r="15" spans="1:16" x14ac:dyDescent="0.45">
      <c r="B15" s="211" t="s">
        <v>148</v>
      </c>
      <c r="C15" s="211"/>
      <c r="D15" s="211"/>
      <c r="E15" s="211"/>
      <c r="F15" s="211"/>
      <c r="G15" s="144"/>
      <c r="I15" s="226"/>
      <c r="J15" s="226"/>
      <c r="K15" s="226"/>
      <c r="L15" s="226"/>
      <c r="M15" s="226"/>
      <c r="N15" s="226"/>
    </row>
    <row r="16" spans="1:16" ht="28.5" x14ac:dyDescent="0.45">
      <c r="A16" s="34"/>
      <c r="B16" s="83" t="str">
        <f>COMPOSIÇÕES!B16</f>
        <v xml:space="preserve">Argamassa cimento e areia 1:4 com expansor </v>
      </c>
      <c r="C16" s="145" t="str">
        <f>COMPOSIÇÕES!C16:C18</f>
        <v>m³</v>
      </c>
      <c r="D16" s="179">
        <v>0.189</v>
      </c>
      <c r="E16" s="81">
        <f>COMPOSIÇÕES!H19</f>
        <v>174.565</v>
      </c>
      <c r="F16" s="82">
        <f>E16*D16</f>
        <v>32.992784999999998</v>
      </c>
      <c r="G16" s="30">
        <f>F16/PREÇOS!$H$13</f>
        <v>0.34313868954758187</v>
      </c>
      <c r="I16" s="226"/>
      <c r="J16" s="226"/>
      <c r="K16" s="226"/>
      <c r="L16" s="226"/>
      <c r="M16" s="226"/>
      <c r="N16" s="226"/>
    </row>
    <row r="17" spans="1:17" x14ac:dyDescent="0.45">
      <c r="B17" s="211" t="s">
        <v>131</v>
      </c>
      <c r="C17" s="211"/>
      <c r="D17" s="211"/>
      <c r="E17" s="211"/>
      <c r="F17" s="37">
        <f>F16*1.15</f>
        <v>37.941702749999997</v>
      </c>
      <c r="G17" s="30">
        <f>F17/PREÇOS!$H$13</f>
        <v>0.39460949297971915</v>
      </c>
      <c r="I17" s="226"/>
      <c r="J17" s="226"/>
      <c r="K17" s="226"/>
      <c r="L17" s="226"/>
      <c r="M17" s="226"/>
      <c r="N17" s="226"/>
    </row>
    <row r="18" spans="1:17" x14ac:dyDescent="0.45">
      <c r="A18" s="9"/>
      <c r="B18" s="211" t="s">
        <v>17</v>
      </c>
      <c r="C18" s="211"/>
      <c r="D18" s="211"/>
      <c r="E18" s="211"/>
      <c r="F18" s="37">
        <f>F17+F14</f>
        <v>2585.3938982173613</v>
      </c>
      <c r="G18" s="30">
        <f>F18/PREÇOS!$H$13</f>
        <v>26.889172108344891</v>
      </c>
      <c r="H18" s="9"/>
      <c r="I18" s="226"/>
      <c r="J18" s="226"/>
      <c r="K18" s="226"/>
      <c r="L18" s="226"/>
      <c r="M18" s="226"/>
      <c r="N18" s="226"/>
      <c r="O18" s="9"/>
      <c r="P18" s="9"/>
      <c r="Q18" s="9"/>
    </row>
    <row r="19" spans="1:17" ht="138" customHeight="1" thickBot="1" x14ac:dyDescent="0.5">
      <c r="A19" s="9"/>
      <c r="B19" s="9"/>
      <c r="C19" s="9"/>
      <c r="D19" s="9"/>
      <c r="E19" s="148"/>
      <c r="F19" s="9"/>
      <c r="G19" s="9"/>
      <c r="H19" s="9"/>
      <c r="I19" s="227"/>
      <c r="J19" s="227"/>
      <c r="K19" s="227"/>
      <c r="L19" s="227"/>
      <c r="M19" s="227"/>
      <c r="N19" s="227"/>
      <c r="O19" s="9"/>
      <c r="P19" s="9"/>
      <c r="Q19" s="9"/>
    </row>
    <row r="20" spans="1:17" ht="18.399999999999999" thickBot="1" x14ac:dyDescent="0.5">
      <c r="A20" s="9"/>
      <c r="B20" s="222" t="s">
        <v>80</v>
      </c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84">
        <f>M11-F18</f>
        <v>976.99896530171827</v>
      </c>
      <c r="O20" s="9"/>
      <c r="P20" s="9"/>
      <c r="Q20" s="9"/>
    </row>
    <row r="21" spans="1:17" x14ac:dyDescent="0.45">
      <c r="A21" s="9"/>
      <c r="B21" s="9"/>
      <c r="C21" s="9"/>
      <c r="D21" s="9"/>
      <c r="E21" s="148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x14ac:dyDescent="0.45">
      <c r="A22" s="9"/>
      <c r="B22" s="9"/>
      <c r="C22" s="9"/>
      <c r="D22" s="9"/>
      <c r="E22" s="148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x14ac:dyDescent="0.45">
      <c r="A23" s="9"/>
      <c r="B23" s="9"/>
      <c r="C23" s="9"/>
      <c r="D23" s="9"/>
      <c r="E23" s="148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45">
      <c r="A24" s="9"/>
      <c r="B24" s="9"/>
      <c r="C24" s="9"/>
      <c r="D24" s="9"/>
      <c r="E24" s="14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x14ac:dyDescent="0.45">
      <c r="A25" s="9"/>
      <c r="B25" s="9"/>
      <c r="C25" s="9"/>
      <c r="D25" s="9"/>
      <c r="E25" s="148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45">
      <c r="A26" s="9"/>
      <c r="B26" s="9"/>
      <c r="C26" s="9"/>
      <c r="D26" s="9"/>
      <c r="E26" s="14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x14ac:dyDescent="0.45">
      <c r="A27" s="9"/>
      <c r="B27" s="9"/>
      <c r="C27" s="9"/>
      <c r="D27" s="9"/>
      <c r="E27" s="148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</sheetData>
  <mergeCells count="12">
    <mergeCell ref="B20:M20"/>
    <mergeCell ref="B1:M1"/>
    <mergeCell ref="I10:L10"/>
    <mergeCell ref="B13:E13"/>
    <mergeCell ref="B14:E14"/>
    <mergeCell ref="B2:G2"/>
    <mergeCell ref="I2:N2"/>
    <mergeCell ref="B18:E18"/>
    <mergeCell ref="B15:F15"/>
    <mergeCell ref="B17:E17"/>
    <mergeCell ref="I11:L11"/>
    <mergeCell ref="I13:N19"/>
  </mergeCells>
  <pageMargins left="0.511811024" right="0.511811024" top="0.78740157499999996" bottom="0.78740157499999996" header="0.31496062000000002" footer="0.31496062000000002"/>
  <pageSetup paperSize="9" scale="44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9"/>
  <sheetViews>
    <sheetView workbookViewId="0">
      <selection activeCell="B1" sqref="B1:N1"/>
    </sheetView>
  </sheetViews>
  <sheetFormatPr defaultColWidth="8.59765625" defaultRowHeight="14.25" x14ac:dyDescent="0.45"/>
  <cols>
    <col min="1" max="1" width="11.59765625" style="5" bestFit="1" customWidth="1"/>
    <col min="2" max="2" width="31" style="5" bestFit="1" customWidth="1"/>
    <col min="3" max="3" width="13.265625" style="5" bestFit="1" customWidth="1"/>
    <col min="4" max="4" width="12.1328125" style="5" bestFit="1" customWidth="1"/>
    <col min="5" max="5" width="15" style="5" bestFit="1" customWidth="1"/>
    <col min="6" max="6" width="13.265625" style="5" bestFit="1" customWidth="1"/>
    <col min="7" max="7" width="4" style="5" customWidth="1"/>
    <col min="8" max="8" width="55" style="5" bestFit="1" customWidth="1"/>
    <col min="9" max="9" width="13.265625" style="5" customWidth="1"/>
    <col min="10" max="10" width="8.59765625" style="5" bestFit="1" customWidth="1"/>
    <col min="11" max="11" width="13.265625" style="5" bestFit="1" customWidth="1"/>
    <col min="12" max="12" width="12.1328125" style="5" bestFit="1" customWidth="1"/>
    <col min="13" max="13" width="15" style="5" bestFit="1" customWidth="1"/>
    <col min="14" max="15" width="13.265625" style="5" bestFit="1" customWidth="1"/>
    <col min="16" max="16" width="10.59765625" style="5" bestFit="1" customWidth="1"/>
    <col min="17" max="16384" width="8.59765625" style="5"/>
  </cols>
  <sheetData>
    <row r="1" spans="1:16" ht="25.9" thickBot="1" x14ac:dyDescent="0.5">
      <c r="A1" s="71"/>
      <c r="B1" s="224" t="s">
        <v>154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6" x14ac:dyDescent="0.45">
      <c r="B2" s="262" t="s">
        <v>134</v>
      </c>
      <c r="C2" s="263"/>
      <c r="D2" s="263"/>
      <c r="E2" s="263"/>
      <c r="F2" s="264"/>
      <c r="G2" s="45"/>
      <c r="H2" s="255" t="s">
        <v>153</v>
      </c>
      <c r="I2" s="256"/>
      <c r="J2" s="257"/>
      <c r="K2" s="257"/>
      <c r="L2" s="257"/>
      <c r="M2" s="257"/>
      <c r="N2" s="258"/>
    </row>
    <row r="3" spans="1:16" s="28" customFormat="1" x14ac:dyDescent="0.45">
      <c r="B3" s="46" t="s">
        <v>4</v>
      </c>
      <c r="C3" s="19" t="s">
        <v>50</v>
      </c>
      <c r="D3" s="19" t="s">
        <v>49</v>
      </c>
      <c r="E3" s="19" t="s">
        <v>53</v>
      </c>
      <c r="F3" s="47" t="s">
        <v>9</v>
      </c>
      <c r="G3" s="45"/>
      <c r="H3" s="46" t="s">
        <v>42</v>
      </c>
      <c r="I3" s="77" t="s">
        <v>151</v>
      </c>
      <c r="J3" s="19" t="s">
        <v>6</v>
      </c>
      <c r="K3" s="19" t="s">
        <v>50</v>
      </c>
      <c r="L3" s="19" t="s">
        <v>49</v>
      </c>
      <c r="M3" s="19" t="s">
        <v>53</v>
      </c>
      <c r="N3" s="47" t="s">
        <v>9</v>
      </c>
    </row>
    <row r="4" spans="1:16" s="28" customFormat="1" x14ac:dyDescent="0.45">
      <c r="B4" s="242" t="s">
        <v>65</v>
      </c>
      <c r="C4" s="243"/>
      <c r="D4" s="243"/>
      <c r="E4" s="243"/>
      <c r="F4" s="244"/>
      <c r="G4" s="45"/>
      <c r="H4" s="265" t="s">
        <v>43</v>
      </c>
      <c r="I4" s="86" t="s">
        <v>58</v>
      </c>
      <c r="J4" s="18" t="s">
        <v>44</v>
      </c>
      <c r="K4" s="180">
        <v>0.38</v>
      </c>
      <c r="L4" s="181">
        <f>PREÇOS!$H$10</f>
        <v>116.61</v>
      </c>
      <c r="M4" s="20">
        <f>PREÇOS!$D$3*(1+PARÂMETROS!$D$8)</f>
        <v>16.386206896551727</v>
      </c>
      <c r="N4" s="48">
        <f t="shared" ref="N4:N12" si="0">M4*L4*K4</f>
        <v>726.10232275862074</v>
      </c>
    </row>
    <row r="5" spans="1:16" s="28" customFormat="1" x14ac:dyDescent="0.45">
      <c r="B5" s="85" t="s">
        <v>199</v>
      </c>
      <c r="C5" s="49">
        <f>PREÇOS!$H$5</f>
        <v>8.8000000000000007</v>
      </c>
      <c r="D5" s="18">
        <v>1</v>
      </c>
      <c r="E5" s="20">
        <v>24.58</v>
      </c>
      <c r="F5" s="48">
        <f>E5*D5*C5</f>
        <v>216.304</v>
      </c>
      <c r="G5" s="50"/>
      <c r="H5" s="266"/>
      <c r="I5" s="86" t="s">
        <v>40</v>
      </c>
      <c r="J5" s="78" t="s">
        <v>44</v>
      </c>
      <c r="K5" s="180">
        <v>0.38</v>
      </c>
      <c r="L5" s="181">
        <f>PREÇOS!$H$10</f>
        <v>116.61</v>
      </c>
      <c r="M5" s="20">
        <f>PREÇOS!$D$4*(1+PARÂMETROS!$D$8)</f>
        <v>10.551724137931034</v>
      </c>
      <c r="N5" s="48">
        <f t="shared" si="0"/>
        <v>467.56588965517238</v>
      </c>
      <c r="O5" s="45"/>
    </row>
    <row r="6" spans="1:16" s="28" customFormat="1" x14ac:dyDescent="0.45">
      <c r="B6" s="85" t="s">
        <v>59</v>
      </c>
      <c r="C6" s="49">
        <f>PREÇOS!$H$5</f>
        <v>8.8000000000000007</v>
      </c>
      <c r="D6" s="18">
        <v>1</v>
      </c>
      <c r="E6" s="20">
        <f>PREÇOS!$E$3</f>
        <v>16.39</v>
      </c>
      <c r="F6" s="48">
        <f t="shared" ref="F6:F20" si="1">E6*D6*C6</f>
        <v>144.23200000000003</v>
      </c>
      <c r="G6" s="50"/>
      <c r="H6" s="265" t="s">
        <v>45</v>
      </c>
      <c r="I6" s="86" t="s">
        <v>58</v>
      </c>
      <c r="J6" s="18" t="s">
        <v>44</v>
      </c>
      <c r="K6" s="180">
        <v>0.06</v>
      </c>
      <c r="L6" s="181">
        <f>L4*2</f>
        <v>233.22</v>
      </c>
      <c r="M6" s="20">
        <f>PREÇOS!$D$3*(1+PARÂMETROS!$D$8)</f>
        <v>16.386206896551727</v>
      </c>
      <c r="N6" s="48">
        <f t="shared" si="0"/>
        <v>229.29547034482761</v>
      </c>
      <c r="O6" s="45"/>
    </row>
    <row r="7" spans="1:16" x14ac:dyDescent="0.45">
      <c r="B7" s="85" t="s">
        <v>200</v>
      </c>
      <c r="C7" s="49">
        <f>PREÇOS!$H$5</f>
        <v>8.8000000000000007</v>
      </c>
      <c r="D7" s="18">
        <v>1</v>
      </c>
      <c r="E7" s="20">
        <v>16.39</v>
      </c>
      <c r="F7" s="48">
        <f t="shared" si="1"/>
        <v>144.23200000000003</v>
      </c>
      <c r="G7" s="50"/>
      <c r="H7" s="266"/>
      <c r="I7" s="86" t="s">
        <v>40</v>
      </c>
      <c r="J7" s="78" t="s">
        <v>44</v>
      </c>
      <c r="K7" s="180">
        <v>0.06</v>
      </c>
      <c r="L7" s="181">
        <f>L5*2</f>
        <v>233.22</v>
      </c>
      <c r="M7" s="20">
        <f>PREÇOS!$D$4*(1+PARÂMETROS!$D$8)</f>
        <v>10.551724137931034</v>
      </c>
      <c r="N7" s="48">
        <f t="shared" si="0"/>
        <v>147.65238620689655</v>
      </c>
      <c r="O7" s="50"/>
      <c r="P7" s="34"/>
    </row>
    <row r="8" spans="1:16" x14ac:dyDescent="0.45">
      <c r="B8" s="85" t="s">
        <v>58</v>
      </c>
      <c r="C8" s="49">
        <f>PREÇOS!$H$5</f>
        <v>8.8000000000000007</v>
      </c>
      <c r="D8" s="18">
        <v>18</v>
      </c>
      <c r="E8" s="20">
        <v>16.39</v>
      </c>
      <c r="F8" s="48">
        <f t="shared" si="1"/>
        <v>2596.1759999999999</v>
      </c>
      <c r="G8" s="50"/>
      <c r="H8" s="265" t="s">
        <v>46</v>
      </c>
      <c r="I8" s="86" t="s">
        <v>58</v>
      </c>
      <c r="J8" s="18" t="s">
        <v>44</v>
      </c>
      <c r="K8" s="180">
        <v>0.32</v>
      </c>
      <c r="L8" s="182">
        <f>L4*2</f>
        <v>233.22</v>
      </c>
      <c r="M8" s="20">
        <f>PREÇOS!$D$3*(1+PARÂMETROS!$D$8)</f>
        <v>16.386206896551727</v>
      </c>
      <c r="N8" s="48">
        <f t="shared" si="0"/>
        <v>1222.9091751724141</v>
      </c>
      <c r="O8" s="50"/>
    </row>
    <row r="9" spans="1:16" x14ac:dyDescent="0.45">
      <c r="B9" s="85" t="s">
        <v>201</v>
      </c>
      <c r="C9" s="49">
        <f>PREÇOS!$H$5</f>
        <v>8.8000000000000007</v>
      </c>
      <c r="D9" s="18">
        <v>16</v>
      </c>
      <c r="E9" s="20">
        <f>PREÇOS!$E$4</f>
        <v>10.55</v>
      </c>
      <c r="F9" s="48">
        <f t="shared" si="1"/>
        <v>1485.4400000000003</v>
      </c>
      <c r="G9" s="50"/>
      <c r="H9" s="266"/>
      <c r="I9" s="86" t="s">
        <v>40</v>
      </c>
      <c r="J9" s="78" t="s">
        <v>44</v>
      </c>
      <c r="K9" s="180">
        <v>0.32</v>
      </c>
      <c r="L9" s="182">
        <f>L5*2</f>
        <v>233.22</v>
      </c>
      <c r="M9" s="20">
        <f>PREÇOS!$D$4*(1+PARÂMETROS!$D$8)</f>
        <v>10.551724137931034</v>
      </c>
      <c r="N9" s="48">
        <f t="shared" si="0"/>
        <v>787.47939310344827</v>
      </c>
      <c r="O9" s="50"/>
    </row>
    <row r="10" spans="1:16" x14ac:dyDescent="0.45">
      <c r="B10" s="85" t="s">
        <v>60</v>
      </c>
      <c r="C10" s="49">
        <f>PREÇOS!$H$5</f>
        <v>8.8000000000000007</v>
      </c>
      <c r="D10" s="18">
        <v>4</v>
      </c>
      <c r="E10" s="20">
        <f>PREÇOS!$E$4</f>
        <v>10.55</v>
      </c>
      <c r="F10" s="48">
        <f t="shared" si="1"/>
        <v>371.36000000000007</v>
      </c>
      <c r="G10" s="50"/>
      <c r="H10" s="85" t="s">
        <v>152</v>
      </c>
      <c r="I10" s="86" t="s">
        <v>40</v>
      </c>
      <c r="J10" s="18" t="s">
        <v>126</v>
      </c>
      <c r="K10" s="180">
        <v>1.7</v>
      </c>
      <c r="L10" s="181">
        <v>22.8</v>
      </c>
      <c r="M10" s="20">
        <f>PREÇOS!$D$4*(1+PARÂMETROS!$D$8)</f>
        <v>10.551724137931034</v>
      </c>
      <c r="N10" s="48">
        <f t="shared" si="0"/>
        <v>408.98482758620685</v>
      </c>
      <c r="O10" s="50"/>
    </row>
    <row r="11" spans="1:16" x14ac:dyDescent="0.45">
      <c r="B11" s="85" t="s">
        <v>61</v>
      </c>
      <c r="C11" s="49">
        <f>PREÇOS!$H$5</f>
        <v>8.8000000000000007</v>
      </c>
      <c r="D11" s="18">
        <v>2</v>
      </c>
      <c r="E11" s="20">
        <f>PREÇOS!$E$4</f>
        <v>10.55</v>
      </c>
      <c r="F11" s="48">
        <f t="shared" si="1"/>
        <v>185.68000000000004</v>
      </c>
      <c r="G11" s="50"/>
      <c r="H11" s="85" t="s">
        <v>47</v>
      </c>
      <c r="I11" s="86" t="s">
        <v>149</v>
      </c>
      <c r="J11" s="18" t="s">
        <v>48</v>
      </c>
      <c r="K11" s="183">
        <v>0.35</v>
      </c>
      <c r="L11" s="181">
        <v>1</v>
      </c>
      <c r="M11" s="70">
        <v>700</v>
      </c>
      <c r="N11" s="48">
        <f t="shared" si="0"/>
        <v>244.99999999999997</v>
      </c>
    </row>
    <row r="12" spans="1:16" s="43" customFormat="1" x14ac:dyDescent="0.45">
      <c r="B12" s="85" t="s">
        <v>62</v>
      </c>
      <c r="C12" s="49">
        <f>PREÇOS!$H$5</f>
        <v>8.8000000000000007</v>
      </c>
      <c r="D12" s="18">
        <v>2</v>
      </c>
      <c r="E12" s="20">
        <f>PREÇOS!$E$4</f>
        <v>10.55</v>
      </c>
      <c r="F12" s="48">
        <f t="shared" si="1"/>
        <v>185.68000000000004</v>
      </c>
      <c r="G12" s="50"/>
      <c r="H12" s="85" t="s">
        <v>51</v>
      </c>
      <c r="I12" s="86" t="s">
        <v>150</v>
      </c>
      <c r="J12" s="18" t="s">
        <v>48</v>
      </c>
      <c r="K12" s="183">
        <v>0.35</v>
      </c>
      <c r="L12" s="181">
        <v>1</v>
      </c>
      <c r="M12" s="70">
        <v>600</v>
      </c>
      <c r="N12" s="48">
        <f t="shared" si="0"/>
        <v>210</v>
      </c>
    </row>
    <row r="13" spans="1:16" x14ac:dyDescent="0.45">
      <c r="B13" s="85" t="s">
        <v>202</v>
      </c>
      <c r="C13" s="49">
        <f>PREÇOS!$H$5</f>
        <v>8.8000000000000007</v>
      </c>
      <c r="D13" s="18">
        <v>6</v>
      </c>
      <c r="E13" s="20">
        <f>PREÇOS!$E$4</f>
        <v>10.55</v>
      </c>
      <c r="F13" s="48">
        <f t="shared" si="1"/>
        <v>557.04000000000008</v>
      </c>
      <c r="G13" s="50"/>
      <c r="H13" s="85" t="s">
        <v>52</v>
      </c>
      <c r="I13" s="86" t="s">
        <v>58</v>
      </c>
      <c r="J13" s="18" t="s">
        <v>113</v>
      </c>
      <c r="K13" s="180">
        <v>2</v>
      </c>
      <c r="L13" s="184">
        <v>10</v>
      </c>
      <c r="M13" s="20">
        <f>PREÇOS!$D$3*(1+PARÂMETROS!$D$8)</f>
        <v>16.386206896551727</v>
      </c>
      <c r="N13" s="48">
        <f>M13*L13*K13</f>
        <v>327.72413793103453</v>
      </c>
    </row>
    <row r="14" spans="1:16" x14ac:dyDescent="0.45">
      <c r="B14" s="85" t="s">
        <v>63</v>
      </c>
      <c r="C14" s="49">
        <f>PREÇOS!$H$5</f>
        <v>8.8000000000000007</v>
      </c>
      <c r="D14" s="18">
        <v>1</v>
      </c>
      <c r="E14" s="20">
        <f>PREÇOS!$E$4</f>
        <v>10.55</v>
      </c>
      <c r="F14" s="48">
        <f t="shared" si="1"/>
        <v>92.840000000000018</v>
      </c>
      <c r="G14" s="50"/>
      <c r="H14" s="85" t="s">
        <v>52</v>
      </c>
      <c r="I14" s="86" t="s">
        <v>40</v>
      </c>
      <c r="J14" s="18" t="s">
        <v>113</v>
      </c>
      <c r="K14" s="180">
        <v>1</v>
      </c>
      <c r="L14" s="184">
        <v>10</v>
      </c>
      <c r="M14" s="20">
        <f>PREÇOS!$D$4*(1+PARÂMETROS!$D$8)</f>
        <v>10.551724137931034</v>
      </c>
      <c r="N14" s="48">
        <f>M14*L14*K14</f>
        <v>105.51724137931033</v>
      </c>
    </row>
    <row r="15" spans="1:16" ht="14.65" thickBot="1" x14ac:dyDescent="0.5">
      <c r="B15" s="85" t="s">
        <v>64</v>
      </c>
      <c r="C15" s="49">
        <f>PREÇOS!$H$5</f>
        <v>8.8000000000000007</v>
      </c>
      <c r="D15" s="18">
        <v>2</v>
      </c>
      <c r="E15" s="20">
        <f>PREÇOS!$E$4</f>
        <v>10.55</v>
      </c>
      <c r="F15" s="48">
        <f t="shared" si="1"/>
        <v>185.68000000000004</v>
      </c>
      <c r="G15" s="50"/>
      <c r="H15" s="259" t="s">
        <v>155</v>
      </c>
      <c r="I15" s="260"/>
      <c r="J15" s="261"/>
      <c r="K15" s="261"/>
      <c r="L15" s="261"/>
      <c r="M15" s="261"/>
      <c r="N15" s="52">
        <f>SUM(N4:N14)</f>
        <v>4878.2308441379319</v>
      </c>
    </row>
    <row r="16" spans="1:16" x14ac:dyDescent="0.45">
      <c r="B16" s="245" t="s">
        <v>17</v>
      </c>
      <c r="C16" s="246"/>
      <c r="D16" s="246"/>
      <c r="E16" s="246"/>
      <c r="F16" s="53">
        <f>SUM(F5:F15)</f>
        <v>6164.6640000000007</v>
      </c>
      <c r="G16" s="54"/>
      <c r="H16" s="239" t="s">
        <v>129</v>
      </c>
      <c r="I16" s="240"/>
      <c r="J16" s="240"/>
      <c r="K16" s="240"/>
      <c r="L16" s="240"/>
      <c r="M16" s="240"/>
      <c r="N16" s="241"/>
    </row>
    <row r="17" spans="2:16" x14ac:dyDescent="0.45">
      <c r="B17" s="242" t="s">
        <v>66</v>
      </c>
      <c r="C17" s="243"/>
      <c r="D17" s="243"/>
      <c r="E17" s="243"/>
      <c r="F17" s="244"/>
      <c r="G17" s="45"/>
      <c r="H17" s="242" t="s">
        <v>4</v>
      </c>
      <c r="I17" s="243"/>
      <c r="J17" s="247"/>
      <c r="K17" s="29" t="s">
        <v>6</v>
      </c>
      <c r="L17" s="29" t="s">
        <v>49</v>
      </c>
      <c r="M17" s="29" t="s">
        <v>5</v>
      </c>
      <c r="N17" s="55"/>
      <c r="O17" s="34"/>
      <c r="P17" s="34"/>
    </row>
    <row r="18" spans="2:16" x14ac:dyDescent="0.45">
      <c r="B18" s="85" t="s">
        <v>67</v>
      </c>
      <c r="C18" s="49">
        <f>PREÇOS!$H$5</f>
        <v>8.8000000000000007</v>
      </c>
      <c r="D18" s="18">
        <v>2</v>
      </c>
      <c r="E18" s="20">
        <f>PREÇOS!$E$3</f>
        <v>16.39</v>
      </c>
      <c r="F18" s="48">
        <f t="shared" si="1"/>
        <v>288.46400000000006</v>
      </c>
      <c r="G18" s="50"/>
      <c r="H18" s="248" t="s">
        <v>128</v>
      </c>
      <c r="I18" s="249"/>
      <c r="J18" s="250"/>
      <c r="K18" s="49" t="s">
        <v>104</v>
      </c>
      <c r="L18" s="18">
        <v>2</v>
      </c>
      <c r="M18" s="20">
        <f>PREÇOS!D35</f>
        <v>4800</v>
      </c>
      <c r="N18" s="48">
        <f>M18*L18</f>
        <v>9600</v>
      </c>
      <c r="O18" s="34"/>
      <c r="P18" s="34"/>
    </row>
    <row r="19" spans="2:16" x14ac:dyDescent="0.45">
      <c r="B19" s="85" t="s">
        <v>203</v>
      </c>
      <c r="C19" s="49">
        <f>PREÇOS!$H$5</f>
        <v>8.8000000000000007</v>
      </c>
      <c r="D19" s="18">
        <v>2</v>
      </c>
      <c r="E19" s="20">
        <v>10.55</v>
      </c>
      <c r="F19" s="48">
        <f t="shared" si="1"/>
        <v>185.68000000000004</v>
      </c>
      <c r="G19" s="50"/>
      <c r="H19" s="248" t="s">
        <v>144</v>
      </c>
      <c r="I19" s="249"/>
      <c r="J19" s="250"/>
      <c r="K19" s="49" t="s">
        <v>104</v>
      </c>
      <c r="L19" s="18">
        <v>1</v>
      </c>
      <c r="M19" s="20">
        <f>PREÇOS!D36</f>
        <v>200</v>
      </c>
      <c r="N19" s="48">
        <f>M19*L19</f>
        <v>200</v>
      </c>
      <c r="O19" s="34"/>
    </row>
    <row r="20" spans="2:16" x14ac:dyDescent="0.45">
      <c r="B20" s="85" t="s">
        <v>204</v>
      </c>
      <c r="C20" s="49">
        <f>PREÇOS!$H$5</f>
        <v>8.8000000000000007</v>
      </c>
      <c r="D20" s="18">
        <v>4</v>
      </c>
      <c r="E20" s="20">
        <f>PREÇOS!$E$4</f>
        <v>10.55</v>
      </c>
      <c r="F20" s="48">
        <f t="shared" si="1"/>
        <v>371.36000000000007</v>
      </c>
      <c r="G20" s="50"/>
      <c r="H20" s="245" t="s">
        <v>17</v>
      </c>
      <c r="I20" s="246"/>
      <c r="J20" s="246"/>
      <c r="K20" s="246"/>
      <c r="L20" s="246"/>
      <c r="M20" s="208"/>
      <c r="N20" s="56">
        <f>SUM(N18:N19)</f>
        <v>9800</v>
      </c>
      <c r="O20" s="34"/>
    </row>
    <row r="21" spans="2:16" ht="14.65" thickBot="1" x14ac:dyDescent="0.5">
      <c r="B21" s="245" t="s">
        <v>17</v>
      </c>
      <c r="C21" s="246"/>
      <c r="D21" s="246"/>
      <c r="E21" s="246"/>
      <c r="F21" s="53">
        <f>SUM(F18:F20)</f>
        <v>845.50400000000013</v>
      </c>
      <c r="G21" s="54"/>
      <c r="H21" s="251" t="s">
        <v>74</v>
      </c>
      <c r="I21" s="252"/>
      <c r="J21" s="252"/>
      <c r="K21" s="252"/>
      <c r="L21" s="252"/>
      <c r="M21" s="253"/>
      <c r="N21" s="51">
        <f>N20/22</f>
        <v>445.45454545454544</v>
      </c>
      <c r="O21" s="34"/>
    </row>
    <row r="22" spans="2:16" ht="28.5" x14ac:dyDescent="0.45">
      <c r="B22" s="242" t="s">
        <v>69</v>
      </c>
      <c r="C22" s="243"/>
      <c r="D22" s="243"/>
      <c r="E22" s="243"/>
      <c r="F22" s="244"/>
      <c r="G22" s="45"/>
      <c r="H22" s="228" t="s">
        <v>162</v>
      </c>
      <c r="I22" s="229"/>
      <c r="J22" s="229"/>
      <c r="K22" s="229"/>
      <c r="L22" s="230"/>
      <c r="M22" s="64" t="s">
        <v>2</v>
      </c>
      <c r="N22" s="65" t="s">
        <v>1</v>
      </c>
      <c r="O22" s="34"/>
    </row>
    <row r="23" spans="2:16" x14ac:dyDescent="0.45">
      <c r="B23" s="85" t="s">
        <v>58</v>
      </c>
      <c r="C23" s="49">
        <v>8.8000000000000007</v>
      </c>
      <c r="D23" s="18">
        <v>2</v>
      </c>
      <c r="E23" s="20">
        <f>PREÇOS!$E$3</f>
        <v>16.39</v>
      </c>
      <c r="F23" s="48">
        <f t="shared" ref="F23:F24" si="2">E23*D23*C23</f>
        <v>288.46400000000006</v>
      </c>
      <c r="G23" s="50"/>
      <c r="H23" s="231"/>
      <c r="I23" s="232"/>
      <c r="J23" s="232"/>
      <c r="K23" s="232"/>
      <c r="L23" s="233"/>
      <c r="M23" s="66">
        <v>1</v>
      </c>
      <c r="N23" s="67">
        <f>$N$21/M23</f>
        <v>445.45454545454544</v>
      </c>
    </row>
    <row r="24" spans="2:16" x14ac:dyDescent="0.45">
      <c r="B24" s="85" t="s">
        <v>68</v>
      </c>
      <c r="C24" s="49">
        <v>8.8000000000000007</v>
      </c>
      <c r="D24" s="18">
        <v>1</v>
      </c>
      <c r="E24" s="20">
        <f>PREÇOS!$E$4</f>
        <v>10.55</v>
      </c>
      <c r="F24" s="48">
        <f t="shared" si="2"/>
        <v>92.840000000000018</v>
      </c>
      <c r="G24" s="50"/>
      <c r="H24" s="231"/>
      <c r="I24" s="232"/>
      <c r="J24" s="232"/>
      <c r="K24" s="232"/>
      <c r="L24" s="233"/>
      <c r="M24" s="66">
        <v>2</v>
      </c>
      <c r="N24" s="67">
        <f t="shared" ref="N24:N25" si="3">$N$21/M24</f>
        <v>222.72727272727272</v>
      </c>
    </row>
    <row r="25" spans="2:16" ht="14.65" thickBot="1" x14ac:dyDescent="0.5">
      <c r="B25" s="237" t="s">
        <v>17</v>
      </c>
      <c r="C25" s="238"/>
      <c r="D25" s="238"/>
      <c r="E25" s="238"/>
      <c r="F25" s="57">
        <f>SUM(F22:F24)</f>
        <v>381.30400000000009</v>
      </c>
      <c r="G25" s="54"/>
      <c r="H25" s="231"/>
      <c r="I25" s="232"/>
      <c r="J25" s="232"/>
      <c r="K25" s="232"/>
      <c r="L25" s="233"/>
      <c r="M25" s="66">
        <v>3</v>
      </c>
      <c r="N25" s="67">
        <f t="shared" si="3"/>
        <v>148.48484848484847</v>
      </c>
    </row>
    <row r="26" spans="2:16" x14ac:dyDescent="0.45">
      <c r="B26" s="239" t="s">
        <v>73</v>
      </c>
      <c r="C26" s="240"/>
      <c r="D26" s="240"/>
      <c r="E26" s="240"/>
      <c r="F26" s="241"/>
      <c r="G26" s="58"/>
      <c r="H26" s="231"/>
      <c r="I26" s="232"/>
      <c r="J26" s="232"/>
      <c r="K26" s="232"/>
      <c r="L26" s="233"/>
      <c r="M26" s="66">
        <v>3.5</v>
      </c>
      <c r="N26" s="67">
        <f t="shared" ref="N26:N27" si="4">$N$21/M26</f>
        <v>127.27272727272727</v>
      </c>
    </row>
    <row r="27" spans="2:16" ht="14.65" thickBot="1" x14ac:dyDescent="0.5">
      <c r="B27" s="59" t="s">
        <v>4</v>
      </c>
      <c r="C27" s="60" t="s">
        <v>6</v>
      </c>
      <c r="D27" s="60" t="s">
        <v>49</v>
      </c>
      <c r="E27" s="60" t="s">
        <v>5</v>
      </c>
      <c r="F27" s="61"/>
      <c r="G27" s="62"/>
      <c r="H27" s="234"/>
      <c r="I27" s="235"/>
      <c r="J27" s="235"/>
      <c r="K27" s="235"/>
      <c r="L27" s="236"/>
      <c r="M27" s="68">
        <v>4</v>
      </c>
      <c r="N27" s="67">
        <f t="shared" si="4"/>
        <v>111.36363636363636</v>
      </c>
    </row>
    <row r="28" spans="2:16" ht="28.5" x14ac:dyDescent="0.45">
      <c r="B28" s="85" t="s">
        <v>70</v>
      </c>
      <c r="C28" s="49" t="s">
        <v>104</v>
      </c>
      <c r="D28" s="18">
        <v>1</v>
      </c>
      <c r="E28" s="20">
        <f>PREÇOS!D32</f>
        <v>35000</v>
      </c>
      <c r="F28" s="48">
        <f>E28*D28</f>
        <v>35000</v>
      </c>
      <c r="G28" s="50"/>
      <c r="H28" s="228" t="s">
        <v>160</v>
      </c>
      <c r="I28" s="229"/>
      <c r="J28" s="229"/>
      <c r="K28" s="229"/>
      <c r="L28" s="230"/>
      <c r="M28" s="64" t="s">
        <v>2</v>
      </c>
      <c r="N28" s="65" t="s">
        <v>1</v>
      </c>
    </row>
    <row r="29" spans="2:16" x14ac:dyDescent="0.45">
      <c r="B29" s="85" t="s">
        <v>71</v>
      </c>
      <c r="C29" s="49" t="s">
        <v>104</v>
      </c>
      <c r="D29" s="18">
        <v>1</v>
      </c>
      <c r="E29" s="20">
        <f>PREÇOS!D33</f>
        <v>10000</v>
      </c>
      <c r="F29" s="48">
        <f>E29*D29</f>
        <v>10000</v>
      </c>
      <c r="G29" s="50"/>
      <c r="H29" s="231"/>
      <c r="I29" s="232"/>
      <c r="J29" s="232"/>
      <c r="K29" s="232"/>
      <c r="L29" s="233"/>
      <c r="M29" s="66">
        <v>1</v>
      </c>
      <c r="N29" s="67">
        <f>N15+N23</f>
        <v>5323.6853895924769</v>
      </c>
    </row>
    <row r="30" spans="2:16" x14ac:dyDescent="0.45">
      <c r="B30" s="85" t="s">
        <v>72</v>
      </c>
      <c r="C30" s="49" t="s">
        <v>104</v>
      </c>
      <c r="D30" s="18">
        <v>1</v>
      </c>
      <c r="E30" s="20">
        <f>PREÇOS!D34</f>
        <v>833.5</v>
      </c>
      <c r="F30" s="48">
        <f>E30*D30</f>
        <v>833.5</v>
      </c>
      <c r="G30" s="50"/>
      <c r="H30" s="231"/>
      <c r="I30" s="232"/>
      <c r="J30" s="232"/>
      <c r="K30" s="232"/>
      <c r="L30" s="233"/>
      <c r="M30" s="66">
        <v>2</v>
      </c>
      <c r="N30" s="67">
        <f>N15+N24</f>
        <v>5100.9581168652048</v>
      </c>
    </row>
    <row r="31" spans="2:16" x14ac:dyDescent="0.45">
      <c r="B31" s="254" t="s">
        <v>17</v>
      </c>
      <c r="C31" s="205"/>
      <c r="D31" s="205"/>
      <c r="E31" s="205"/>
      <c r="F31" s="56">
        <f>SUM(F28:F30)</f>
        <v>45833.5</v>
      </c>
      <c r="G31" s="54"/>
      <c r="H31" s="231"/>
      <c r="I31" s="232"/>
      <c r="J31" s="232"/>
      <c r="K31" s="232"/>
      <c r="L31" s="233"/>
      <c r="M31" s="66">
        <v>3</v>
      </c>
      <c r="N31" s="67">
        <f>N15+N25</f>
        <v>5026.7156926227799</v>
      </c>
    </row>
    <row r="32" spans="2:16" x14ac:dyDescent="0.45">
      <c r="B32" s="251" t="s">
        <v>74</v>
      </c>
      <c r="C32" s="252"/>
      <c r="D32" s="252"/>
      <c r="E32" s="253"/>
      <c r="F32" s="51">
        <f>F31/22</f>
        <v>2083.340909090909</v>
      </c>
      <c r="G32" s="63"/>
      <c r="H32" s="231"/>
      <c r="I32" s="232"/>
      <c r="J32" s="232"/>
      <c r="K32" s="232"/>
      <c r="L32" s="233"/>
      <c r="M32" s="66">
        <v>3.5</v>
      </c>
      <c r="N32" s="67">
        <f>N15+N26</f>
        <v>5005.5035714106589</v>
      </c>
    </row>
    <row r="33" spans="2:15" ht="14.65" thickBot="1" x14ac:dyDescent="0.5">
      <c r="B33" s="237" t="s">
        <v>75</v>
      </c>
      <c r="C33" s="238"/>
      <c r="D33" s="238"/>
      <c r="E33" s="238"/>
      <c r="F33" s="57">
        <f>F32+F25+F21+F16</f>
        <v>9474.8129090909097</v>
      </c>
      <c r="G33" s="54"/>
      <c r="H33" s="234"/>
      <c r="I33" s="235"/>
      <c r="J33" s="235"/>
      <c r="K33" s="235"/>
      <c r="L33" s="236"/>
      <c r="M33" s="68">
        <v>4</v>
      </c>
      <c r="N33" s="67">
        <f>N15+N27</f>
        <v>4989.5944805015679</v>
      </c>
    </row>
    <row r="34" spans="2:15" ht="28.5" x14ac:dyDescent="0.45">
      <c r="B34" s="87"/>
      <c r="C34" s="88"/>
      <c r="D34" s="64" t="s">
        <v>156</v>
      </c>
      <c r="E34" s="64" t="s">
        <v>2</v>
      </c>
      <c r="F34" s="65" t="s">
        <v>1</v>
      </c>
      <c r="H34" s="228" t="s">
        <v>161</v>
      </c>
      <c r="I34" s="229"/>
      <c r="J34" s="229"/>
      <c r="K34" s="229"/>
      <c r="L34" s="230"/>
      <c r="M34" s="64" t="s">
        <v>2</v>
      </c>
      <c r="N34" s="65" t="s">
        <v>1</v>
      </c>
    </row>
    <row r="35" spans="2:15" x14ac:dyDescent="0.45">
      <c r="B35" s="89"/>
      <c r="C35" s="90"/>
      <c r="D35" s="41">
        <f>$F$33</f>
        <v>9474.8129090909097</v>
      </c>
      <c r="E35" s="66">
        <v>1</v>
      </c>
      <c r="F35" s="67">
        <f>$F$33/E35</f>
        <v>9474.8129090909097</v>
      </c>
      <c r="H35" s="231"/>
      <c r="I35" s="232"/>
      <c r="J35" s="232"/>
      <c r="K35" s="232"/>
      <c r="L35" s="233"/>
      <c r="M35" s="66">
        <v>1</v>
      </c>
      <c r="N35" s="67">
        <f>N29*M29</f>
        <v>5323.6853895924769</v>
      </c>
      <c r="O35" s="34"/>
    </row>
    <row r="36" spans="2:15" x14ac:dyDescent="0.45">
      <c r="B36" s="89"/>
      <c r="C36" s="90"/>
      <c r="D36" s="41">
        <f t="shared" ref="D36:D39" si="5">$F$33</f>
        <v>9474.8129090909097</v>
      </c>
      <c r="E36" s="66">
        <v>2</v>
      </c>
      <c r="F36" s="67">
        <f>$F$33/E36</f>
        <v>4737.4064545454548</v>
      </c>
      <c r="H36" s="231"/>
      <c r="I36" s="232"/>
      <c r="J36" s="232"/>
      <c r="K36" s="232"/>
      <c r="L36" s="233"/>
      <c r="M36" s="66">
        <v>2</v>
      </c>
      <c r="N36" s="67">
        <f t="shared" ref="N36:N39" si="6">N30*M30</f>
        <v>10201.91623373041</v>
      </c>
      <c r="O36" s="34"/>
    </row>
    <row r="37" spans="2:15" x14ac:dyDescent="0.45">
      <c r="B37" s="89"/>
      <c r="C37" s="90"/>
      <c r="D37" s="41">
        <f t="shared" si="5"/>
        <v>9474.8129090909097</v>
      </c>
      <c r="E37" s="66">
        <v>3</v>
      </c>
      <c r="F37" s="67">
        <f>$F$33/E37</f>
        <v>3158.27096969697</v>
      </c>
      <c r="H37" s="231"/>
      <c r="I37" s="232"/>
      <c r="J37" s="232"/>
      <c r="K37" s="232"/>
      <c r="L37" s="233"/>
      <c r="M37" s="66">
        <v>3</v>
      </c>
      <c r="N37" s="67">
        <f t="shared" si="6"/>
        <v>15080.14707786834</v>
      </c>
      <c r="O37" s="34"/>
    </row>
    <row r="38" spans="2:15" x14ac:dyDescent="0.45">
      <c r="B38" s="89"/>
      <c r="C38" s="90"/>
      <c r="D38" s="41">
        <f t="shared" si="5"/>
        <v>9474.8129090909097</v>
      </c>
      <c r="E38" s="66">
        <v>3.5</v>
      </c>
      <c r="F38" s="67">
        <f t="shared" ref="F38:F39" si="7">$F$33/E38</f>
        <v>2707.0894025974026</v>
      </c>
      <c r="H38" s="231"/>
      <c r="I38" s="232"/>
      <c r="J38" s="232"/>
      <c r="K38" s="232"/>
      <c r="L38" s="233"/>
      <c r="M38" s="66">
        <v>3.5</v>
      </c>
      <c r="N38" s="67">
        <f t="shared" si="6"/>
        <v>17519.262499937307</v>
      </c>
      <c r="O38" s="34"/>
    </row>
    <row r="39" spans="2:15" ht="14.65" thickBot="1" x14ac:dyDescent="0.5">
      <c r="B39" s="91"/>
      <c r="C39" s="92"/>
      <c r="D39" s="93">
        <f t="shared" si="5"/>
        <v>9474.8129090909097</v>
      </c>
      <c r="E39" s="68">
        <v>4</v>
      </c>
      <c r="F39" s="69">
        <f t="shared" si="7"/>
        <v>2368.7032272727274</v>
      </c>
      <c r="H39" s="234"/>
      <c r="I39" s="235"/>
      <c r="J39" s="235"/>
      <c r="K39" s="235"/>
      <c r="L39" s="236"/>
      <c r="M39" s="68">
        <v>4</v>
      </c>
      <c r="N39" s="69">
        <f t="shared" si="6"/>
        <v>19958.377922006272</v>
      </c>
      <c r="O39" s="34"/>
    </row>
  </sheetData>
  <mergeCells count="26">
    <mergeCell ref="B32:E32"/>
    <mergeCell ref="B31:E31"/>
    <mergeCell ref="H2:N2"/>
    <mergeCell ref="H15:M15"/>
    <mergeCell ref="B1:N1"/>
    <mergeCell ref="B2:F2"/>
    <mergeCell ref="B4:F4"/>
    <mergeCell ref="H4:H5"/>
    <mergeCell ref="H6:H7"/>
    <mergeCell ref="H8:H9"/>
    <mergeCell ref="H34:L39"/>
    <mergeCell ref="H28:L33"/>
    <mergeCell ref="B33:E33"/>
    <mergeCell ref="H16:N16"/>
    <mergeCell ref="B17:F17"/>
    <mergeCell ref="B22:F22"/>
    <mergeCell ref="B16:E16"/>
    <mergeCell ref="B21:E21"/>
    <mergeCell ref="H17:J17"/>
    <mergeCell ref="H18:J18"/>
    <mergeCell ref="H20:M20"/>
    <mergeCell ref="H21:M21"/>
    <mergeCell ref="H19:J19"/>
    <mergeCell ref="H22:L27"/>
    <mergeCell ref="B25:E25"/>
    <mergeCell ref="B26:F26"/>
  </mergeCells>
  <pageMargins left="0.511811024" right="0.511811024" top="0.78740157499999996" bottom="0.78740157499999996" header="0.31496062000000002" footer="0.31496062000000002"/>
  <pageSetup paperSize="9" scale="53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B36"/>
  <sheetViews>
    <sheetView workbookViewId="0">
      <selection activeCell="T5" sqref="T5"/>
    </sheetView>
  </sheetViews>
  <sheetFormatPr defaultColWidth="8.59765625" defaultRowHeight="14.25" x14ac:dyDescent="0.45"/>
  <cols>
    <col min="2" max="2" width="3.1328125" customWidth="1"/>
    <col min="3" max="3" width="9.3984375" bestFit="1" customWidth="1"/>
    <col min="4" max="4" width="11.1328125" bestFit="1" customWidth="1"/>
    <col min="5" max="5" width="8.3984375" bestFit="1" customWidth="1"/>
    <col min="6" max="7" width="9.3984375" bestFit="1" customWidth="1"/>
    <col min="8" max="8" width="7.3984375" bestFit="1" customWidth="1"/>
    <col min="13" max="13" width="11.1328125" bestFit="1" customWidth="1"/>
    <col min="16" max="16" width="3.86328125" customWidth="1"/>
    <col min="20" max="20" width="10" bestFit="1" customWidth="1"/>
    <col min="21" max="21" width="11" bestFit="1" customWidth="1"/>
    <col min="22" max="22" width="9.265625" bestFit="1" customWidth="1"/>
    <col min="23" max="23" width="9.3984375" bestFit="1" customWidth="1"/>
    <col min="24" max="24" width="3.1328125" customWidth="1"/>
  </cols>
  <sheetData>
    <row r="1" spans="2:24" ht="36" customHeight="1" thickBot="1" x14ac:dyDescent="0.5">
      <c r="C1" s="267" t="s">
        <v>163</v>
      </c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</row>
    <row r="2" spans="2:24" ht="23.65" thickBot="1" x14ac:dyDescent="0.5">
      <c r="B2" s="110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2"/>
      <c r="R2" s="112"/>
      <c r="S2" s="111"/>
      <c r="T2" s="111"/>
      <c r="U2" s="111"/>
      <c r="V2" s="111"/>
      <c r="W2" s="111"/>
      <c r="X2" s="113"/>
    </row>
    <row r="3" spans="2:24" x14ac:dyDescent="0.45">
      <c r="B3" s="114"/>
      <c r="C3" s="268" t="s">
        <v>164</v>
      </c>
      <c r="D3" s="269"/>
      <c r="E3" s="115"/>
      <c r="F3" s="268" t="s">
        <v>165</v>
      </c>
      <c r="G3" s="269"/>
      <c r="H3" s="115"/>
      <c r="I3" s="115"/>
      <c r="J3" s="115"/>
      <c r="K3" s="115"/>
      <c r="L3" s="115"/>
      <c r="M3" s="115"/>
      <c r="N3" s="115"/>
      <c r="O3" s="115"/>
      <c r="P3" s="115"/>
      <c r="S3" s="115"/>
      <c r="T3" s="270" t="s">
        <v>166</v>
      </c>
      <c r="U3" s="271"/>
      <c r="V3" s="271"/>
      <c r="W3" s="272"/>
      <c r="X3" s="116"/>
    </row>
    <row r="4" spans="2:24" x14ac:dyDescent="0.45">
      <c r="B4" s="114"/>
      <c r="C4" s="117" t="s">
        <v>4</v>
      </c>
      <c r="D4" s="118" t="s">
        <v>33</v>
      </c>
      <c r="F4" s="117" t="s">
        <v>4</v>
      </c>
      <c r="G4" s="118" t="s">
        <v>33</v>
      </c>
      <c r="H4" s="115"/>
      <c r="O4" s="115"/>
      <c r="P4" s="115"/>
      <c r="S4" s="119"/>
      <c r="T4" s="120" t="s">
        <v>167</v>
      </c>
      <c r="U4" s="121" t="s">
        <v>168</v>
      </c>
      <c r="V4" s="121" t="s">
        <v>169</v>
      </c>
      <c r="W4" s="122" t="s">
        <v>33</v>
      </c>
      <c r="X4" s="116"/>
    </row>
    <row r="5" spans="2:24" x14ac:dyDescent="0.45">
      <c r="B5" s="114"/>
      <c r="C5" s="123" t="s">
        <v>170</v>
      </c>
      <c r="D5" s="124">
        <v>98.79</v>
      </c>
      <c r="F5" s="123" t="s">
        <v>170</v>
      </c>
      <c r="G5" s="124">
        <v>116.61</v>
      </c>
      <c r="H5" s="115"/>
      <c r="K5" s="168"/>
      <c r="L5" s="169"/>
      <c r="P5" s="115"/>
      <c r="Q5" s="125" t="s">
        <v>171</v>
      </c>
      <c r="R5" s="126">
        <f>N9*Q12</f>
        <v>7.8127999999999993</v>
      </c>
      <c r="S5" s="115"/>
      <c r="T5" s="127">
        <v>1.6</v>
      </c>
      <c r="U5" s="128">
        <v>1.2</v>
      </c>
      <c r="V5" s="129">
        <v>1</v>
      </c>
      <c r="W5" s="130">
        <f>V5*T5*U5</f>
        <v>1.92</v>
      </c>
      <c r="X5" s="116"/>
    </row>
    <row r="6" spans="2:24" x14ac:dyDescent="0.45">
      <c r="B6" s="114"/>
      <c r="C6" s="123" t="s">
        <v>172</v>
      </c>
      <c r="D6" s="124">
        <f>D5*2</f>
        <v>197.58</v>
      </c>
      <c r="F6" s="123" t="s">
        <v>172</v>
      </c>
      <c r="G6" s="124">
        <f>G5*2</f>
        <v>233.22</v>
      </c>
      <c r="H6" s="115"/>
      <c r="K6" s="115"/>
      <c r="L6" s="115"/>
      <c r="P6" s="115"/>
      <c r="S6" s="115"/>
      <c r="T6" s="127">
        <v>1.2</v>
      </c>
      <c r="U6" s="128">
        <v>1.2</v>
      </c>
      <c r="V6" s="131">
        <v>2</v>
      </c>
      <c r="W6" s="130">
        <f t="shared" ref="W6:W9" si="0">V6*T6*U6</f>
        <v>2.88</v>
      </c>
      <c r="X6" s="116"/>
    </row>
    <row r="7" spans="2:24" ht="14.65" thickBot="1" x14ac:dyDescent="0.5">
      <c r="B7" s="114"/>
      <c r="C7" s="132" t="s">
        <v>173</v>
      </c>
      <c r="D7" s="133">
        <f>D5*2</f>
        <v>197.58</v>
      </c>
      <c r="F7" s="132" t="s">
        <v>173</v>
      </c>
      <c r="G7" s="133">
        <f>G5*2</f>
        <v>233.22</v>
      </c>
      <c r="H7" s="115"/>
      <c r="K7" s="115"/>
      <c r="L7" s="115"/>
      <c r="M7" s="115"/>
      <c r="N7" s="115"/>
      <c r="P7" s="115"/>
      <c r="S7" s="115"/>
      <c r="T7" s="127">
        <v>0.6</v>
      </c>
      <c r="U7" s="128">
        <v>1.5</v>
      </c>
      <c r="V7" s="131">
        <v>1</v>
      </c>
      <c r="W7" s="130">
        <f t="shared" si="0"/>
        <v>0.89999999999999991</v>
      </c>
      <c r="X7" s="116"/>
    </row>
    <row r="8" spans="2:24" ht="14.65" thickBot="1" x14ac:dyDescent="0.5">
      <c r="B8" s="114"/>
      <c r="C8" s="115"/>
      <c r="D8" s="115"/>
      <c r="K8" s="115"/>
      <c r="L8" s="115"/>
      <c r="M8" s="115"/>
      <c r="N8" s="115"/>
      <c r="P8" s="115"/>
      <c r="S8" s="115"/>
      <c r="T8" s="127">
        <v>0.6</v>
      </c>
      <c r="U8" s="128">
        <v>0.6</v>
      </c>
      <c r="V8" s="131">
        <v>1</v>
      </c>
      <c r="W8" s="130">
        <f t="shared" si="0"/>
        <v>0.36</v>
      </c>
      <c r="X8" s="116"/>
    </row>
    <row r="9" spans="2:24" ht="14.65" thickBot="1" x14ac:dyDescent="0.5">
      <c r="B9" s="114"/>
      <c r="G9" s="164"/>
      <c r="H9" s="165"/>
      <c r="I9" s="166"/>
      <c r="J9" s="166"/>
      <c r="L9" s="115"/>
      <c r="M9" s="115"/>
      <c r="N9" s="134">
        <v>2.57</v>
      </c>
      <c r="P9" s="115"/>
      <c r="Q9" s="115"/>
      <c r="R9" s="115"/>
      <c r="S9" s="115"/>
      <c r="T9" s="127">
        <v>0.8</v>
      </c>
      <c r="U9" s="128">
        <v>2.1</v>
      </c>
      <c r="V9" s="131">
        <v>7</v>
      </c>
      <c r="W9" s="130">
        <f t="shared" si="0"/>
        <v>11.760000000000002</v>
      </c>
      <c r="X9" s="116"/>
    </row>
    <row r="10" spans="2:24" ht="14.65" thickBot="1" x14ac:dyDescent="0.5">
      <c r="B10" s="114"/>
      <c r="G10" s="166"/>
      <c r="H10" s="165"/>
      <c r="I10" s="166"/>
      <c r="J10" s="166"/>
      <c r="K10" s="115"/>
      <c r="L10" s="115"/>
      <c r="M10" s="115"/>
      <c r="N10" s="115"/>
      <c r="P10" s="115"/>
      <c r="Q10" s="115"/>
      <c r="R10" s="115"/>
      <c r="S10" s="115"/>
      <c r="T10" s="273" t="s">
        <v>17</v>
      </c>
      <c r="U10" s="274"/>
      <c r="V10" s="274"/>
      <c r="W10" s="135">
        <f ca="1">SUM(W5:W11)</f>
        <v>17.82</v>
      </c>
      <c r="X10" s="116"/>
    </row>
    <row r="11" spans="2:24" ht="14.65" thickBot="1" x14ac:dyDescent="0.5">
      <c r="B11" s="114"/>
      <c r="G11" s="165"/>
      <c r="H11" s="165"/>
      <c r="I11" s="166"/>
      <c r="J11" s="166"/>
      <c r="K11" s="115"/>
      <c r="L11" s="115"/>
      <c r="M11" s="115"/>
      <c r="N11" s="115"/>
      <c r="P11" s="115"/>
      <c r="Q11" s="115"/>
      <c r="R11" s="115"/>
      <c r="S11" s="115"/>
      <c r="X11" s="116"/>
    </row>
    <row r="12" spans="2:24" ht="14.65" thickBot="1" x14ac:dyDescent="0.5">
      <c r="B12" s="114"/>
      <c r="G12" s="165"/>
      <c r="H12" s="165"/>
      <c r="I12" s="166"/>
      <c r="J12" s="167"/>
      <c r="K12" s="115"/>
      <c r="L12" s="115"/>
      <c r="N12" s="115"/>
      <c r="P12" s="115"/>
      <c r="Q12" s="134">
        <v>3.04</v>
      </c>
      <c r="R12" s="115"/>
      <c r="S12" s="115"/>
      <c r="W12" s="170"/>
      <c r="X12" s="116"/>
    </row>
    <row r="13" spans="2:24" x14ac:dyDescent="0.45">
      <c r="B13" s="114"/>
      <c r="C13" s="115"/>
      <c r="D13" s="115"/>
      <c r="E13" s="115"/>
      <c r="F13" s="115"/>
      <c r="G13" s="165"/>
      <c r="H13" s="165"/>
      <c r="I13" s="165"/>
      <c r="J13" s="16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</row>
    <row r="14" spans="2:24" x14ac:dyDescent="0.45">
      <c r="B14" s="114"/>
      <c r="C14" s="115"/>
      <c r="D14" s="136" t="s">
        <v>171</v>
      </c>
      <c r="E14" s="137">
        <f>C18*E22</f>
        <v>14.905999999999999</v>
      </c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X14" s="116"/>
    </row>
    <row r="15" spans="2:24" x14ac:dyDescent="0.45">
      <c r="B15" s="114"/>
      <c r="C15" s="115"/>
      <c r="D15" s="125" t="s">
        <v>178</v>
      </c>
      <c r="E15" s="138">
        <f>E14*2</f>
        <v>29.811999999999998</v>
      </c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X15" s="116"/>
    </row>
    <row r="16" spans="2:24" x14ac:dyDescent="0.45">
      <c r="B16" s="114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X16" s="116"/>
    </row>
    <row r="17" spans="2:24" ht="14.65" thickBot="1" x14ac:dyDescent="0.5">
      <c r="B17" s="114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6"/>
    </row>
    <row r="18" spans="2:24" ht="14.65" thickBot="1" x14ac:dyDescent="0.5">
      <c r="B18" s="114"/>
      <c r="C18" s="134">
        <v>2.57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34">
        <v>1.05</v>
      </c>
      <c r="W18" s="115"/>
      <c r="X18" s="116"/>
    </row>
    <row r="19" spans="2:24" x14ac:dyDescent="0.45">
      <c r="B19" s="114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6"/>
    </row>
    <row r="20" spans="2:24" ht="14.65" thickBot="1" x14ac:dyDescent="0.5"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6"/>
    </row>
    <row r="21" spans="2:24" ht="14.65" thickBot="1" x14ac:dyDescent="0.5">
      <c r="B21" s="114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34">
        <v>2.57</v>
      </c>
      <c r="R21" s="115"/>
      <c r="S21" s="115"/>
      <c r="T21" s="115"/>
      <c r="U21" s="115"/>
      <c r="V21" s="136" t="s">
        <v>175</v>
      </c>
      <c r="W21" s="137">
        <f>(V18*S25)/2</f>
        <v>3.6539999999999999</v>
      </c>
      <c r="X21" s="116"/>
    </row>
    <row r="22" spans="2:24" ht="14.65" thickBot="1" x14ac:dyDescent="0.5">
      <c r="B22" s="114"/>
      <c r="C22" s="115"/>
      <c r="D22" s="115"/>
      <c r="E22" s="139">
        <v>5.8</v>
      </c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36" t="s">
        <v>171</v>
      </c>
      <c r="W22" s="137">
        <f>S25*Q21</f>
        <v>17.8872</v>
      </c>
      <c r="X22" s="116"/>
    </row>
    <row r="23" spans="2:24" x14ac:dyDescent="0.45">
      <c r="B23" s="114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36" t="s">
        <v>176</v>
      </c>
      <c r="W23" s="137">
        <f>SUM(W21:W22)</f>
        <v>21.5412</v>
      </c>
      <c r="X23" s="116"/>
    </row>
    <row r="24" spans="2:24" ht="14.65" thickBot="1" x14ac:dyDescent="0.5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25" t="s">
        <v>177</v>
      </c>
      <c r="W24" s="138">
        <f>W23*2</f>
        <v>43.0824</v>
      </c>
      <c r="X24" s="116"/>
    </row>
    <row r="25" spans="2:24" ht="14.65" thickBot="1" x14ac:dyDescent="0.5"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34">
        <v>6.96</v>
      </c>
      <c r="T25" s="115"/>
      <c r="U25" s="115"/>
      <c r="V25" s="115"/>
      <c r="W25" s="115"/>
      <c r="X25" s="116"/>
    </row>
    <row r="26" spans="2:24" ht="14.65" thickBot="1" x14ac:dyDescent="0.5">
      <c r="B26" s="114"/>
      <c r="C26" s="134">
        <v>2.4700000000000002</v>
      </c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W26" s="115"/>
      <c r="X26" s="116"/>
    </row>
    <row r="27" spans="2:24" ht="14.65" thickBot="1" x14ac:dyDescent="0.5"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6"/>
    </row>
    <row r="28" spans="2:24" ht="14.65" thickBot="1" x14ac:dyDescent="0.5"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34">
        <v>2.4700000000000002</v>
      </c>
      <c r="S28" s="115"/>
      <c r="T28" s="115"/>
      <c r="U28" s="125" t="s">
        <v>171</v>
      </c>
      <c r="V28" s="126">
        <f>R28*S32</f>
        <v>3.7297000000000002</v>
      </c>
      <c r="W28" s="115"/>
      <c r="X28" s="116"/>
    </row>
    <row r="29" spans="2:24" ht="14.65" thickBot="1" x14ac:dyDescent="0.5">
      <c r="B29" s="114"/>
      <c r="C29" s="115"/>
      <c r="D29" s="115"/>
      <c r="E29" s="134">
        <v>3.5</v>
      </c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6"/>
    </row>
    <row r="30" spans="2:24" x14ac:dyDescent="0.45">
      <c r="B30" s="114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6"/>
    </row>
    <row r="31" spans="2:24" ht="14.65" thickBot="1" x14ac:dyDescent="0.5">
      <c r="B31" s="114"/>
      <c r="C31" s="115"/>
      <c r="D31" s="136" t="s">
        <v>171</v>
      </c>
      <c r="E31" s="137">
        <f>E29*C26</f>
        <v>8.6450000000000014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6"/>
    </row>
    <row r="32" spans="2:24" ht="14.65" thickBot="1" x14ac:dyDescent="0.5">
      <c r="B32" s="114"/>
      <c r="C32" s="115"/>
      <c r="D32" s="125" t="s">
        <v>178</v>
      </c>
      <c r="E32" s="138">
        <f>E31*2</f>
        <v>17.290000000000003</v>
      </c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34">
        <v>1.51</v>
      </c>
      <c r="T32" s="115"/>
      <c r="U32" s="115"/>
      <c r="V32" s="115"/>
      <c r="W32" s="115"/>
      <c r="X32" s="116"/>
    </row>
    <row r="33" spans="2:28" ht="14.65" thickBot="1" x14ac:dyDescent="0.5">
      <c r="B33" s="140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2"/>
    </row>
    <row r="34" spans="2:28" x14ac:dyDescent="0.45">
      <c r="L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</row>
    <row r="35" spans="2:28" x14ac:dyDescent="0.45"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</row>
    <row r="36" spans="2:28" x14ac:dyDescent="0.45"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</row>
  </sheetData>
  <mergeCells count="5">
    <mergeCell ref="C1:W1"/>
    <mergeCell ref="C3:D3"/>
    <mergeCell ref="F3:G3"/>
    <mergeCell ref="T3:W3"/>
    <mergeCell ref="T10:V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B36"/>
  <sheetViews>
    <sheetView workbookViewId="0"/>
  </sheetViews>
  <sheetFormatPr defaultColWidth="8.59765625" defaultRowHeight="14.25" x14ac:dyDescent="0.45"/>
  <cols>
    <col min="2" max="2" width="3.1328125" customWidth="1"/>
    <col min="4" max="4" width="11.1328125" bestFit="1" customWidth="1"/>
    <col min="5" max="5" width="8.3984375" bestFit="1" customWidth="1"/>
    <col min="6" max="7" width="9.3984375" bestFit="1" customWidth="1"/>
    <col min="8" max="8" width="7.3984375" bestFit="1" customWidth="1"/>
    <col min="13" max="13" width="11.1328125" bestFit="1" customWidth="1"/>
    <col min="16" max="16" width="3.86328125" customWidth="1"/>
    <col min="20" max="20" width="10" bestFit="1" customWidth="1"/>
    <col min="21" max="21" width="11" bestFit="1" customWidth="1"/>
    <col min="22" max="22" width="9.265625" bestFit="1" customWidth="1"/>
    <col min="23" max="23" width="9.3984375" bestFit="1" customWidth="1"/>
    <col min="24" max="24" width="3.1328125" customWidth="1"/>
  </cols>
  <sheetData>
    <row r="1" spans="2:24" ht="36" customHeight="1" thickBot="1" x14ac:dyDescent="0.5">
      <c r="C1" s="267" t="s">
        <v>180</v>
      </c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</row>
    <row r="2" spans="2:24" ht="23.65" thickBot="1" x14ac:dyDescent="0.5">
      <c r="B2" s="110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2"/>
      <c r="R2" s="112"/>
      <c r="S2" s="111"/>
      <c r="T2" s="111"/>
      <c r="U2" s="111"/>
      <c r="V2" s="111"/>
      <c r="W2" s="111"/>
      <c r="X2" s="113"/>
    </row>
    <row r="3" spans="2:24" x14ac:dyDescent="0.45">
      <c r="B3" s="114"/>
      <c r="C3" s="268" t="s">
        <v>164</v>
      </c>
      <c r="D3" s="269"/>
      <c r="E3" s="115"/>
      <c r="F3" s="268" t="s">
        <v>165</v>
      </c>
      <c r="G3" s="269"/>
      <c r="H3" s="115"/>
      <c r="I3" s="115"/>
      <c r="J3" s="115"/>
      <c r="K3" s="115"/>
      <c r="L3" s="115"/>
      <c r="M3" s="115"/>
      <c r="N3" s="115"/>
      <c r="O3" s="115"/>
      <c r="P3" s="115"/>
      <c r="S3" s="115"/>
      <c r="T3" s="270" t="s">
        <v>166</v>
      </c>
      <c r="U3" s="271"/>
      <c r="V3" s="271"/>
      <c r="W3" s="272"/>
      <c r="X3" s="116"/>
    </row>
    <row r="4" spans="2:24" x14ac:dyDescent="0.45">
      <c r="B4" s="114"/>
      <c r="C4" s="117" t="s">
        <v>4</v>
      </c>
      <c r="D4" s="118" t="s">
        <v>33</v>
      </c>
      <c r="F4" s="117" t="s">
        <v>4</v>
      </c>
      <c r="G4" s="118" t="s">
        <v>33</v>
      </c>
      <c r="H4" s="115"/>
      <c r="O4" s="115"/>
      <c r="P4" s="115"/>
      <c r="S4" s="119"/>
      <c r="T4" s="120" t="s">
        <v>167</v>
      </c>
      <c r="U4" s="121" t="s">
        <v>168</v>
      </c>
      <c r="V4" s="121" t="s">
        <v>169</v>
      </c>
      <c r="W4" s="122" t="s">
        <v>33</v>
      </c>
      <c r="X4" s="116"/>
    </row>
    <row r="5" spans="2:24" x14ac:dyDescent="0.45">
      <c r="B5" s="114"/>
      <c r="C5" s="123" t="s">
        <v>170</v>
      </c>
      <c r="D5" s="146">
        <v>96.15</v>
      </c>
      <c r="F5" s="123" t="s">
        <v>170</v>
      </c>
      <c r="G5" s="124">
        <v>113.97</v>
      </c>
      <c r="H5" s="115"/>
      <c r="K5" s="125" t="s">
        <v>171</v>
      </c>
      <c r="L5" s="126">
        <f>G9*J12</f>
        <v>14.6233</v>
      </c>
      <c r="O5" s="115"/>
      <c r="P5" s="115"/>
      <c r="Q5" s="125" t="s">
        <v>171</v>
      </c>
      <c r="R5" s="126">
        <f>O9*Q12</f>
        <v>7.6585999999999999</v>
      </c>
      <c r="S5" s="115"/>
      <c r="T5" s="127">
        <v>1.6</v>
      </c>
      <c r="U5" s="128">
        <v>1.2</v>
      </c>
      <c r="V5" s="129">
        <v>1</v>
      </c>
      <c r="W5" s="130">
        <f>V5*T5*U5</f>
        <v>1.92</v>
      </c>
      <c r="X5" s="116"/>
    </row>
    <row r="6" spans="2:24" x14ac:dyDescent="0.45">
      <c r="B6" s="114"/>
      <c r="C6" s="123" t="s">
        <v>172</v>
      </c>
      <c r="D6" s="124">
        <f>D5*2</f>
        <v>192.3</v>
      </c>
      <c r="F6" s="123" t="s">
        <v>172</v>
      </c>
      <c r="G6" s="124">
        <f>G5*2</f>
        <v>227.94</v>
      </c>
      <c r="H6" s="115"/>
      <c r="O6" s="115"/>
      <c r="P6" s="115"/>
      <c r="S6" s="115"/>
      <c r="T6" s="127">
        <v>1.2</v>
      </c>
      <c r="U6" s="128">
        <v>1.2</v>
      </c>
      <c r="V6" s="131">
        <v>2</v>
      </c>
      <c r="W6" s="130">
        <f t="shared" ref="W6:W9" si="0">V6*T6*U6</f>
        <v>2.88</v>
      </c>
      <c r="X6" s="116"/>
    </row>
    <row r="7" spans="2:24" ht="14.65" thickBot="1" x14ac:dyDescent="0.5">
      <c r="B7" s="114"/>
      <c r="C7" s="132" t="s">
        <v>173</v>
      </c>
      <c r="D7" s="133">
        <f>D5*2</f>
        <v>192.3</v>
      </c>
      <c r="F7" s="132" t="s">
        <v>173</v>
      </c>
      <c r="G7" s="133">
        <f>G5*2</f>
        <v>227.94</v>
      </c>
      <c r="H7" s="115"/>
      <c r="K7" s="115"/>
      <c r="L7" s="115"/>
      <c r="M7" s="115"/>
      <c r="N7" s="115"/>
      <c r="O7" s="115"/>
      <c r="P7" s="115"/>
      <c r="S7" s="115"/>
      <c r="T7" s="127">
        <v>0.6</v>
      </c>
      <c r="U7" s="128">
        <v>1.5</v>
      </c>
      <c r="V7" s="131">
        <v>1</v>
      </c>
      <c r="W7" s="130">
        <f t="shared" si="0"/>
        <v>0.89999999999999991</v>
      </c>
      <c r="X7" s="116"/>
    </row>
    <row r="8" spans="2:24" ht="14.65" thickBot="1" x14ac:dyDescent="0.5">
      <c r="B8" s="114"/>
      <c r="C8" s="115"/>
      <c r="D8" s="115"/>
      <c r="K8" s="115"/>
      <c r="L8" s="115"/>
      <c r="M8" s="115"/>
      <c r="N8" s="115"/>
      <c r="O8" s="115"/>
      <c r="P8" s="115"/>
      <c r="S8" s="115"/>
      <c r="T8" s="127">
        <v>0.6</v>
      </c>
      <c r="U8" s="128">
        <v>0.6</v>
      </c>
      <c r="V8" s="131">
        <v>1</v>
      </c>
      <c r="W8" s="130">
        <f t="shared" si="0"/>
        <v>0.36</v>
      </c>
      <c r="X8" s="116"/>
    </row>
    <row r="9" spans="2:24" ht="14.65" thickBot="1" x14ac:dyDescent="0.5">
      <c r="B9" s="114"/>
      <c r="G9" s="134">
        <v>2.57</v>
      </c>
      <c r="H9" s="115"/>
      <c r="L9" s="115"/>
      <c r="M9" s="115"/>
      <c r="N9" s="115"/>
      <c r="O9" s="134">
        <v>2.57</v>
      </c>
      <c r="P9" s="115"/>
      <c r="Q9" s="115"/>
      <c r="R9" s="115"/>
      <c r="S9" s="115"/>
      <c r="T9" s="127">
        <v>0.8</v>
      </c>
      <c r="U9" s="128">
        <v>2.1</v>
      </c>
      <c r="V9" s="131">
        <v>7</v>
      </c>
      <c r="W9" s="130">
        <f t="shared" si="0"/>
        <v>11.760000000000002</v>
      </c>
      <c r="X9" s="116"/>
    </row>
    <row r="10" spans="2:24" ht="14.65" thickBot="1" x14ac:dyDescent="0.5">
      <c r="B10" s="114"/>
      <c r="G10" s="115"/>
      <c r="H10" s="115"/>
      <c r="K10" s="115"/>
      <c r="L10" s="115"/>
      <c r="M10" s="115"/>
      <c r="N10" s="115"/>
      <c r="O10" s="115"/>
      <c r="P10" s="115"/>
      <c r="Q10" s="115"/>
      <c r="R10" s="115"/>
      <c r="S10" s="115"/>
      <c r="T10" s="273" t="s">
        <v>17</v>
      </c>
      <c r="U10" s="274"/>
      <c r="V10" s="274"/>
      <c r="W10" s="135">
        <f>SUM(W5:W9)</f>
        <v>17.82</v>
      </c>
      <c r="X10" s="116"/>
    </row>
    <row r="11" spans="2:24" ht="14.65" thickBot="1" x14ac:dyDescent="0.5">
      <c r="B11" s="114"/>
      <c r="G11" s="115"/>
      <c r="H11" s="115"/>
      <c r="K11" s="115"/>
      <c r="L11" s="115"/>
      <c r="M11" s="115"/>
      <c r="N11" s="115"/>
      <c r="O11" s="115"/>
      <c r="P11" s="115"/>
      <c r="Q11" s="115"/>
      <c r="R11" s="115"/>
      <c r="S11" s="115"/>
      <c r="T11" s="159"/>
      <c r="U11" s="159"/>
      <c r="V11" s="160"/>
      <c r="W11" s="161"/>
      <c r="X11" s="116"/>
    </row>
    <row r="12" spans="2:24" ht="14.65" thickBot="1" x14ac:dyDescent="0.5">
      <c r="B12" s="114"/>
      <c r="G12" s="115"/>
      <c r="H12" s="115"/>
      <c r="J12" s="139">
        <v>5.69</v>
      </c>
      <c r="K12" s="115"/>
      <c r="L12" s="115"/>
      <c r="N12" s="115"/>
      <c r="O12" s="115"/>
      <c r="P12" s="115"/>
      <c r="Q12" s="134">
        <v>2.98</v>
      </c>
      <c r="R12" s="115"/>
      <c r="S12" s="115"/>
      <c r="T12" s="163"/>
      <c r="U12" s="163"/>
      <c r="V12" s="163"/>
      <c r="W12" s="162"/>
      <c r="X12" s="116"/>
    </row>
    <row r="13" spans="2:24" x14ac:dyDescent="0.45">
      <c r="B13" s="114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</row>
    <row r="14" spans="2:24" x14ac:dyDescent="0.45">
      <c r="B14" s="114"/>
      <c r="C14" s="115"/>
      <c r="D14" s="136" t="s">
        <v>171</v>
      </c>
      <c r="E14" s="137">
        <f>C18*E22</f>
        <v>15.163</v>
      </c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X14" s="116"/>
    </row>
    <row r="15" spans="2:24" x14ac:dyDescent="0.45">
      <c r="B15" s="114"/>
      <c r="C15" s="115"/>
      <c r="D15" s="125" t="s">
        <v>174</v>
      </c>
      <c r="E15" s="138">
        <f>E14*3</f>
        <v>45.489000000000004</v>
      </c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X15" s="116"/>
    </row>
    <row r="16" spans="2:24" x14ac:dyDescent="0.45">
      <c r="B16" s="114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X16" s="116"/>
    </row>
    <row r="17" spans="2:24" ht="14.65" thickBot="1" x14ac:dyDescent="0.5">
      <c r="B17" s="114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6"/>
    </row>
    <row r="18" spans="2:24" ht="14.65" thickBot="1" x14ac:dyDescent="0.5">
      <c r="B18" s="114"/>
      <c r="C18" s="134">
        <v>2.57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34">
        <v>1.05</v>
      </c>
      <c r="W18" s="115"/>
      <c r="X18" s="116"/>
    </row>
    <row r="19" spans="2:24" x14ac:dyDescent="0.45">
      <c r="B19" s="114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6"/>
    </row>
    <row r="20" spans="2:24" ht="14.65" thickBot="1" x14ac:dyDescent="0.5"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6"/>
    </row>
    <row r="21" spans="2:24" ht="14.65" thickBot="1" x14ac:dyDescent="0.5">
      <c r="B21" s="114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34">
        <v>2.57</v>
      </c>
      <c r="R21" s="115"/>
      <c r="S21" s="115"/>
      <c r="T21" s="115"/>
      <c r="U21" s="115"/>
      <c r="V21" s="136" t="s">
        <v>175</v>
      </c>
      <c r="W21" s="137">
        <f>(V18*S25)/2</f>
        <v>3.4597500000000001</v>
      </c>
      <c r="X21" s="116"/>
    </row>
    <row r="22" spans="2:24" ht="14.65" thickBot="1" x14ac:dyDescent="0.5">
      <c r="B22" s="114"/>
      <c r="C22" s="115"/>
      <c r="D22" s="115"/>
      <c r="E22" s="139">
        <v>5.9</v>
      </c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36" t="s">
        <v>171</v>
      </c>
      <c r="W22" s="137">
        <f>S25*Q21</f>
        <v>16.936299999999999</v>
      </c>
      <c r="X22" s="116"/>
    </row>
    <row r="23" spans="2:24" x14ac:dyDescent="0.45">
      <c r="B23" s="114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36" t="s">
        <v>176</v>
      </c>
      <c r="W23" s="137">
        <f>SUM(W21:W22)</f>
        <v>20.396049999999999</v>
      </c>
      <c r="X23" s="116"/>
    </row>
    <row r="24" spans="2:24" ht="14.65" thickBot="1" x14ac:dyDescent="0.5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25" t="s">
        <v>177</v>
      </c>
      <c r="W24" s="138">
        <f>W23*2</f>
        <v>40.792099999999998</v>
      </c>
      <c r="X24" s="116"/>
    </row>
    <row r="25" spans="2:24" ht="14.65" thickBot="1" x14ac:dyDescent="0.5"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34">
        <v>6.59</v>
      </c>
      <c r="T25" s="115"/>
      <c r="U25" s="115"/>
      <c r="V25" s="115"/>
      <c r="W25" s="115"/>
      <c r="X25" s="116"/>
    </row>
    <row r="26" spans="2:24" ht="14.65" thickBot="1" x14ac:dyDescent="0.5">
      <c r="B26" s="114"/>
      <c r="C26" s="134">
        <v>2.4700000000000002</v>
      </c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W26" s="115"/>
      <c r="X26" s="116"/>
    </row>
    <row r="27" spans="2:24" ht="14.65" thickBot="1" x14ac:dyDescent="0.5"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6"/>
    </row>
    <row r="28" spans="2:24" ht="14.65" thickBot="1" x14ac:dyDescent="0.5"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34">
        <v>2.4700000000000002</v>
      </c>
      <c r="S28" s="115"/>
      <c r="T28" s="115"/>
      <c r="U28" s="125" t="s">
        <v>171</v>
      </c>
      <c r="V28" s="126">
        <f>R28*S32</f>
        <v>3.5815000000000001</v>
      </c>
      <c r="W28" s="115"/>
      <c r="X28" s="116"/>
    </row>
    <row r="29" spans="2:24" ht="14.65" thickBot="1" x14ac:dyDescent="0.5">
      <c r="B29" s="114"/>
      <c r="C29" s="115"/>
      <c r="D29" s="115"/>
      <c r="E29" s="134">
        <v>3.44</v>
      </c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6"/>
    </row>
    <row r="30" spans="2:24" x14ac:dyDescent="0.45">
      <c r="B30" s="114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6"/>
    </row>
    <row r="31" spans="2:24" ht="14.65" thickBot="1" x14ac:dyDescent="0.5">
      <c r="B31" s="114"/>
      <c r="C31" s="115"/>
      <c r="D31" s="136" t="s">
        <v>171</v>
      </c>
      <c r="E31" s="137">
        <f>E29*C26</f>
        <v>8.4968000000000004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6"/>
    </row>
    <row r="32" spans="2:24" ht="14.65" thickBot="1" x14ac:dyDescent="0.5">
      <c r="B32" s="114"/>
      <c r="C32" s="115"/>
      <c r="D32" s="125" t="s">
        <v>178</v>
      </c>
      <c r="E32" s="138">
        <f>E31*2</f>
        <v>16.993600000000001</v>
      </c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34">
        <v>1.45</v>
      </c>
      <c r="T32" s="115"/>
      <c r="U32" s="115"/>
      <c r="V32" s="115"/>
      <c r="W32" s="115"/>
      <c r="X32" s="116"/>
    </row>
    <row r="33" spans="2:28" ht="14.65" thickBot="1" x14ac:dyDescent="0.5">
      <c r="B33" s="140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2"/>
    </row>
    <row r="34" spans="2:28" x14ac:dyDescent="0.45">
      <c r="L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</row>
    <row r="35" spans="2:28" x14ac:dyDescent="0.45"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</row>
    <row r="36" spans="2:28" x14ac:dyDescent="0.45"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</row>
  </sheetData>
  <mergeCells count="5">
    <mergeCell ref="C1:W1"/>
    <mergeCell ref="C3:D3"/>
    <mergeCell ref="F3:G3"/>
    <mergeCell ref="T3:W3"/>
    <mergeCell ref="T10:V10"/>
  </mergeCells>
  <pageMargins left="0.511811024" right="0.511811024" top="0.78740157499999996" bottom="0.78740157499999996" header="0.31496062000000002" footer="0.31496062000000002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INSTRUÇÕES</vt:lpstr>
      <vt:lpstr>PARÂMETROS</vt:lpstr>
      <vt:lpstr>CANTEIRO</vt:lpstr>
      <vt:lpstr>PREÇOS</vt:lpstr>
      <vt:lpstr>COMPOSIÇÕES</vt:lpstr>
      <vt:lpstr>INSUMOS</vt:lpstr>
      <vt:lpstr>MO E EQ</vt:lpstr>
      <vt:lpstr>PAREDES CONVENCIONAL</vt:lpstr>
      <vt:lpstr>PAREDES CASA FÁCIL</vt:lpstr>
      <vt:lpstr>PARÂMETROS!Print_Area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Kevin Taylor</cp:lastModifiedBy>
  <cp:lastPrinted>2013-04-10T21:03:03Z</cp:lastPrinted>
  <dcterms:created xsi:type="dcterms:W3CDTF">2013-04-03T11:51:12Z</dcterms:created>
  <dcterms:modified xsi:type="dcterms:W3CDTF">2025-01-23T20:06:13Z</dcterms:modified>
</cp:coreProperties>
</file>